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080" windowWidth="15480" windowHeight="4980" activeTab="5"/>
  </bookViews>
  <sheets>
    <sheet name="SCI" sheetId="1" r:id="rId1"/>
    <sheet name="SFP" sheetId="2" r:id="rId2"/>
    <sheet name="SCE" sheetId="3" r:id="rId3"/>
    <sheet name="SCF" sheetId="4" r:id="rId4"/>
    <sheet name="Notes A" sheetId="5" r:id="rId5"/>
    <sheet name="Notes B" sheetId="6" r:id="rId6"/>
  </sheets>
  <definedNames>
    <definedName name="_xlnm.Print_Area" localSheetId="4">'Notes A'!$A$1:$K$90</definedName>
    <definedName name="_xlnm.Print_Area" localSheetId="5">'Notes B'!$A$1:$K$138</definedName>
    <definedName name="_xlnm.Print_Area" localSheetId="2">'SCE'!$A$1:$I$27</definedName>
    <definedName name="_xlnm.Print_Area" localSheetId="3">'SCF'!$A$1:$F$69</definedName>
    <definedName name="_xlnm.Print_Area" localSheetId="0">'SCI'!$A$1:$H$44</definedName>
    <definedName name="_xlnm.Print_Area" localSheetId="1">'SFP'!$A$1:$F$50</definedName>
    <definedName name="_xlnm.Print_Titles" localSheetId="4">'Notes A'!$1:$1</definedName>
    <definedName name="_xlnm.Print_Titles" localSheetId="5">'Notes B'!$1:$2</definedName>
  </definedNames>
  <calcPr fullCalcOnLoad="1"/>
</workbook>
</file>

<file path=xl/sharedStrings.xml><?xml version="1.0" encoding="utf-8"?>
<sst xmlns="http://schemas.openxmlformats.org/spreadsheetml/2006/main" count="369" uniqueCount="278">
  <si>
    <t>Note</t>
  </si>
  <si>
    <t>RM'000</t>
  </si>
  <si>
    <t>Revenue</t>
  </si>
  <si>
    <t>N/A</t>
  </si>
  <si>
    <t>Cost of sales</t>
  </si>
  <si>
    <t>Gross profit</t>
  </si>
  <si>
    <t>Other operating income</t>
  </si>
  <si>
    <t>Administration expenses</t>
  </si>
  <si>
    <t>Other expenses</t>
  </si>
  <si>
    <t>Finance costs</t>
  </si>
  <si>
    <t>Profit before taxation</t>
  </si>
  <si>
    <t>Income tax expense</t>
  </si>
  <si>
    <t>Profit after taxation</t>
  </si>
  <si>
    <t>ASSETS</t>
  </si>
  <si>
    <t>Property, plant and equipment</t>
  </si>
  <si>
    <t>Inventories</t>
  </si>
  <si>
    <t>Cash and bank balances</t>
  </si>
  <si>
    <t>TOTAL ASSETS</t>
  </si>
  <si>
    <t>EQUITY AND LIABILITIES</t>
  </si>
  <si>
    <t>Share capital</t>
  </si>
  <si>
    <t>Share premium</t>
  </si>
  <si>
    <t>Retained profits</t>
  </si>
  <si>
    <t>Non-current liabilities</t>
  </si>
  <si>
    <t>Deferred tax liabilities</t>
  </si>
  <si>
    <t>Provision for taxation</t>
  </si>
  <si>
    <t>Bank overdrafts</t>
  </si>
  <si>
    <t>TOTAL EQUITY AND LIABILITIES</t>
  </si>
  <si>
    <t>Adjustments for :</t>
  </si>
  <si>
    <t>Depreciation of property, plant and equipment</t>
  </si>
  <si>
    <t>Interest expenses</t>
  </si>
  <si>
    <t>Unrealised loss on foreign exchange</t>
  </si>
  <si>
    <t>Dividend income</t>
  </si>
  <si>
    <t>Fair value gain on derivatives</t>
  </si>
  <si>
    <t>Gain on disposal property, plant and equipment</t>
  </si>
  <si>
    <t>Gain on disposal of other investment</t>
  </si>
  <si>
    <t>Interest income</t>
  </si>
  <si>
    <t>Interest paid</t>
  </si>
  <si>
    <t>Income tax paid</t>
  </si>
  <si>
    <t>Dividend received</t>
  </si>
  <si>
    <t>Interest received</t>
  </si>
  <si>
    <t>Proceed from disposal of an associate</t>
  </si>
  <si>
    <t>Proceed from disposal of investment held for sale</t>
  </si>
  <si>
    <t>Proceed from disposal of other investment</t>
  </si>
  <si>
    <t>Proceed from disposal of property, plant and equipment</t>
  </si>
  <si>
    <t>Purchase of property, plant and equipment</t>
  </si>
  <si>
    <t>Dividends paid</t>
  </si>
  <si>
    <t>Total</t>
  </si>
  <si>
    <t>Acquisition of subsidiaries</t>
  </si>
  <si>
    <t>Share of results of associate</t>
  </si>
  <si>
    <t>N/A denotes not applicable</t>
  </si>
  <si>
    <t>Selling and distribution expenses</t>
  </si>
  <si>
    <t>Investment in an associate</t>
  </si>
  <si>
    <t>Tax recoverable</t>
  </si>
  <si>
    <t>Hire purchase payable</t>
  </si>
  <si>
    <t>Loans and borrowings</t>
  </si>
  <si>
    <t>Hire purchase payables</t>
  </si>
  <si>
    <t>Earnings per share attributable to owner of the parent :</t>
  </si>
  <si>
    <t>Equity attributable to owners of the parent</t>
  </si>
  <si>
    <t>Weighted average number of ordinary shares</t>
  </si>
  <si>
    <t>Net assets per share attributable to equity holders 
of the</t>
  </si>
  <si>
    <t>Notes:</t>
  </si>
  <si>
    <t>Share Capital</t>
  </si>
  <si>
    <t>Retained Profits</t>
  </si>
  <si>
    <t>Share Premium</t>
  </si>
  <si>
    <t>Bonus issue</t>
  </si>
  <si>
    <t>Doubtful Debts Recovered</t>
  </si>
  <si>
    <t>Doubtful Debts Written Off</t>
  </si>
  <si>
    <t>(Increase)/Decrease in trade and other receivables</t>
  </si>
  <si>
    <t>(Increase)/Decrease in inventories</t>
  </si>
  <si>
    <t>Increase/(Decrease) in trade and other payables</t>
  </si>
  <si>
    <t>(Increase)/Decrease in Fixed Deposits</t>
  </si>
  <si>
    <t>Cash Generated From/(Used In) Operations</t>
  </si>
  <si>
    <t>in issue ('000)</t>
  </si>
  <si>
    <t>Basic (Sen)</t>
  </si>
  <si>
    <t>Diluted (Sen)</t>
  </si>
  <si>
    <t xml:space="preserve">parent (RM) </t>
  </si>
  <si>
    <t>Write back of allowance for doubtful debts</t>
  </si>
  <si>
    <t>Total Equity</t>
  </si>
  <si>
    <t>&lt;----------- Attributable to Owners of Parent -----------&gt;</t>
  </si>
  <si>
    <t>Non-Controlling  Interests</t>
  </si>
  <si>
    <t>Issue of shares</t>
  </si>
  <si>
    <t>Effects of changes in stakes in a subsidiary</t>
  </si>
  <si>
    <t>Profit before tax</t>
  </si>
  <si>
    <t>Operating profit before changes in working capital</t>
  </si>
  <si>
    <t>Share of profits in Associates</t>
  </si>
  <si>
    <t>Cash Flows From Operating Activities:</t>
  </si>
  <si>
    <t>Working Capital Changes</t>
  </si>
  <si>
    <t>Cash Flows From Investing Activities:</t>
  </si>
  <si>
    <t>Cash Flows From Financing Activities:</t>
  </si>
  <si>
    <t>Issue of ordinary shares</t>
  </si>
  <si>
    <t>Proceeds from bank borrowings and other liabilities</t>
  </si>
  <si>
    <t>Dividends paid on shares</t>
  </si>
  <si>
    <t>Payment for hire purchase obligations</t>
  </si>
  <si>
    <t>Payment for borrowing</t>
  </si>
  <si>
    <t>Effects of Changes in Foreign Exchange Rate, Net</t>
  </si>
  <si>
    <t>Cash and Cash Equivalents at End of The Period</t>
  </si>
  <si>
    <t>Cash and Cash Equivalents Comprise:</t>
  </si>
  <si>
    <t>Non-controlling Interest</t>
  </si>
  <si>
    <t>Current assets:</t>
  </si>
  <si>
    <t>Goodwill on combination</t>
  </si>
  <si>
    <t>Current Liabilities:</t>
  </si>
  <si>
    <t>TOTAL LIABILITIES</t>
  </si>
  <si>
    <t>Equity:</t>
  </si>
  <si>
    <t>TOTAL EQUITY</t>
  </si>
  <si>
    <t>Non-Controlling Interest</t>
  </si>
  <si>
    <t>Owners of The Parent</t>
  </si>
  <si>
    <t>Profit Attributable To:</t>
  </si>
  <si>
    <t>Comprehensive income attributable to :</t>
  </si>
  <si>
    <t>Total comprehensive income for the period</t>
  </si>
  <si>
    <t>Net Cash Flow From Operating Activities</t>
  </si>
  <si>
    <t>Deferred Tax Assets</t>
  </si>
  <si>
    <t>Balance at 01/01/2011</t>
  </si>
  <si>
    <t xml:space="preserve">Listing Expenses Written off </t>
  </si>
  <si>
    <t>Income tax refund</t>
  </si>
  <si>
    <t>Cumulative Period</t>
  </si>
  <si>
    <t>Non-current assets:</t>
  </si>
  <si>
    <t>Basis of preparation</t>
  </si>
  <si>
    <t>A1.</t>
  </si>
  <si>
    <t>(restated)</t>
  </si>
  <si>
    <t>Other than slowdown in the demand for our products during the festive period particularly in the first quarter of the year, our Group does not experience any material seasonality or cyclicality in our business operations.</t>
  </si>
  <si>
    <t>Material Changes in estimates</t>
  </si>
  <si>
    <t>Seasonality or cyclicality of interim operations</t>
  </si>
  <si>
    <t>Unusual Items affecting assets, liabilities, equity, net income or cash flows</t>
  </si>
  <si>
    <t>Capital Management, issuances, repurchases and repayments of debts and equity instruments</t>
  </si>
  <si>
    <t>Total equity</t>
  </si>
  <si>
    <t>Total capital</t>
  </si>
  <si>
    <t>Gearing ratio</t>
  </si>
  <si>
    <t>Dividends paid (aggregate or per share) separating for ordinary shares and other shares</t>
  </si>
  <si>
    <t>Operating Segment Information</t>
  </si>
  <si>
    <t>Total liabilities</t>
  </si>
  <si>
    <t>Material events subsequent to the end of the interim period</t>
  </si>
  <si>
    <t>Changes in contingent liabilities &amp; assets since the last annual financial statements date</t>
  </si>
  <si>
    <t>Capital commitment</t>
  </si>
  <si>
    <t>Analysed as follows:</t>
  </si>
  <si>
    <t>Related party transactions</t>
  </si>
  <si>
    <t>Total for nature of relationship</t>
  </si>
  <si>
    <t>Sales of goods</t>
  </si>
  <si>
    <t>Nature of Relationship</t>
  </si>
  <si>
    <t>Associates</t>
  </si>
  <si>
    <t>In additional to the above related party transactions which are presented in the aggregates because of their similar nature, the following related party transactions were recorded during the period under review:</t>
  </si>
  <si>
    <t>Amount of transaction</t>
  </si>
  <si>
    <t>Terms of settlement</t>
  </si>
  <si>
    <t>i) Loan made to Associates</t>
  </si>
  <si>
    <t>Unsecured, cash term &amp; payable at the end of 2011</t>
  </si>
  <si>
    <t>Parents &amp; fellow subsidiaries</t>
  </si>
  <si>
    <t>-</t>
  </si>
  <si>
    <t>Total for type of transaction</t>
  </si>
  <si>
    <t>Current quarter:</t>
  </si>
  <si>
    <t>Effects of changes in the composition of the Group</t>
  </si>
  <si>
    <t>The contingent liabilities and contingent assets as at the end of the prior financial year 31/12/2010 have remained unchanged.</t>
  </si>
  <si>
    <t>B1.</t>
  </si>
  <si>
    <t>B. Explanatory Notes pursuant to Appendix 9B of the Listing Requirements of Bursa Malaysia Securities Bhd</t>
  </si>
  <si>
    <t>A. Compliance with Financial Reporting Standard (FRS) 134, Interim Financial Reporting and Bursa Listing 
    Requirements</t>
  </si>
  <si>
    <t>Review of performance</t>
  </si>
  <si>
    <t>%</t>
  </si>
  <si>
    <t>Commentary on prospects for the remaining period of the current Financial Year</t>
  </si>
  <si>
    <t>Breakdown of tax changes</t>
  </si>
  <si>
    <t>Current Quarter</t>
  </si>
  <si>
    <t>Ended</t>
  </si>
  <si>
    <t>Tax charges/credits comprise:</t>
  </si>
  <si>
    <t>Malaysian taxation based on profit for the period:</t>
  </si>
  <si>
    <t>Current tax expense</t>
  </si>
  <si>
    <t>Deferred tax expense</t>
  </si>
  <si>
    <t>Foreign taxation - current</t>
  </si>
  <si>
    <t>Adjustment for under/(over) provision</t>
  </si>
  <si>
    <t>Current tax income</t>
  </si>
  <si>
    <t>Deferred tax income</t>
  </si>
  <si>
    <t>Tax relating to components of other comprehensive income:</t>
  </si>
  <si>
    <t>Deferred tax</t>
  </si>
  <si>
    <t>Net tax charge</t>
  </si>
  <si>
    <t>Current</t>
  </si>
  <si>
    <t>Effective Tax rate</t>
  </si>
  <si>
    <t>Quoted Securities</t>
  </si>
  <si>
    <t>Profits/(losses) on sale of unquoted investments and/or properties</t>
  </si>
  <si>
    <t>There were no sale of unquoted investments and/or properties for the current quarter and financial year to date.</t>
  </si>
  <si>
    <t>Comparison with immediate preceding quarter's results</t>
  </si>
  <si>
    <t>Status of corporate proposals and utilisation of proceeds</t>
  </si>
  <si>
    <t>There were no purchase or dispose of any quoted securities for the current quarter and financial year to date.</t>
  </si>
  <si>
    <t>(b) Utilisation of proceeds</t>
  </si>
  <si>
    <t>(a) Corporate proposals</t>
  </si>
  <si>
    <t>The total gross proceeds raised from the public issue of RM11.47 million based on the issue price of RM0.57 will be utilised in the following manner:</t>
  </si>
  <si>
    <t>Purpose</t>
  </si>
  <si>
    <t>(iii) Listing Expenses</t>
  </si>
  <si>
    <t>(i)   Business Expansion and capital expenditures</t>
  </si>
  <si>
    <t>(ii)  Working Capital</t>
  </si>
  <si>
    <t>Within 1 year after listing</t>
  </si>
  <si>
    <t>Proposed utilisation</t>
  </si>
  <si>
    <t>Details of Group borrowings and debts securities</t>
  </si>
  <si>
    <t>Unsecured</t>
  </si>
  <si>
    <t>Secured</t>
  </si>
  <si>
    <t>Long-term borrowings:</t>
  </si>
  <si>
    <t>Term loans (in functional currency)</t>
  </si>
  <si>
    <t>Hire purchase liabilities</t>
  </si>
  <si>
    <t>Short-term borrowings:</t>
  </si>
  <si>
    <t>Bills and other trade financing liabilities</t>
  </si>
  <si>
    <t>Bank overdraft</t>
  </si>
  <si>
    <t xml:space="preserve">Off balance sheets financial instruments
</t>
  </si>
  <si>
    <t>Changes in Material Litigations</t>
  </si>
  <si>
    <t>Dividends</t>
  </si>
  <si>
    <t>Earnings per share</t>
  </si>
  <si>
    <t>Adjustment for interest saved on assumed conversion of convertible debts securities</t>
  </si>
  <si>
    <t>Adjusted profit for the financial period attributable to owners of the parent (used as numerator for the Diluted EPS)</t>
  </si>
  <si>
    <t>'000</t>
  </si>
  <si>
    <t>Adjustment for assumed conversion of debt securities</t>
  </si>
  <si>
    <t>Adjustment for assumed exercise of options and warrants</t>
  </si>
  <si>
    <t>Diluted earnings per share were not computed as the Group does not have any dilutive potential ordinary shares in issue as at he end of the financial quarter under review.</t>
  </si>
  <si>
    <t>Profit for the financial period attributable to owner of the Parent (used as numerator for the Basic EPS)</t>
  </si>
  <si>
    <t>Weighted average number of ordinary shares in issue (used as denominator for the Basic EPS)</t>
  </si>
  <si>
    <t>Weighted average number of ordinary shares in issue (used as denominator for the Diluted EPS)</t>
  </si>
  <si>
    <t>Audit report qualification and status of matters raised</t>
  </si>
  <si>
    <t>The audit report of the Group's annual financial statements for the year ended 31/12/2010 did not contain any qualification.</t>
  </si>
  <si>
    <t>Income tax expense for continuing operations for the period</t>
  </si>
  <si>
    <t>Tax effect of discontinued operations:</t>
  </si>
  <si>
    <t>Actual utilisation</t>
  </si>
  <si>
    <t>Trade &amp; Other receivables</t>
  </si>
  <si>
    <t>Trade &amp; Other payables</t>
  </si>
  <si>
    <t>(b) Repayment of bank borrowings</t>
  </si>
  <si>
    <t>Revenues from external customers</t>
  </si>
  <si>
    <t>Inter-segment revenue</t>
  </si>
  <si>
    <t>Stainless steel products</t>
  </si>
  <si>
    <t>Other industrial hardware</t>
  </si>
  <si>
    <t>Reportable segment gross profit/(loss)</t>
  </si>
  <si>
    <t>Marine hardware &amp; consumable</t>
  </si>
  <si>
    <t>Authorisation for issue</t>
  </si>
  <si>
    <t>Intended timeframe for utilisation (Listed 19/01/2011)</t>
  </si>
  <si>
    <t>There were no corporate proposals for the current quarter.</t>
  </si>
  <si>
    <t>Realised and unrealised profits</t>
  </si>
  <si>
    <t xml:space="preserve"> - Realised</t>
  </si>
  <si>
    <t xml:space="preserve"> - Unrealised</t>
  </si>
  <si>
    <t>Total retained profits of the Company and its subsidiaries:</t>
  </si>
  <si>
    <t>Total share of retained profits from Associates:</t>
  </si>
  <si>
    <t>Less: Consolidation adjustments</t>
  </si>
  <si>
    <t>Dividend paid on ordinary shares:</t>
  </si>
  <si>
    <t>Approved and contracted for</t>
  </si>
  <si>
    <t>Approved but not contracted for</t>
  </si>
  <si>
    <t>For purchase of plant and equipment</t>
  </si>
  <si>
    <t>Reconciliation of Effective Tax Rate:</t>
  </si>
  <si>
    <t>Accounting Profit before tax</t>
  </si>
  <si>
    <t>Statutory tax amount / rate</t>
  </si>
  <si>
    <t>Tax Effects of Expenses Disallowed:</t>
  </si>
  <si>
    <t>Other Expenses not deductible for tax purposes</t>
  </si>
  <si>
    <t>Effective tax amount / rate</t>
  </si>
  <si>
    <t>Overprovision of tax expense in prior years</t>
  </si>
  <si>
    <t>Deferred tax assets not recognised on:</t>
  </si>
  <si>
    <t xml:space="preserve">- Previous year's taxable temporary differences </t>
  </si>
  <si>
    <t xml:space="preserve">%  </t>
  </si>
  <si>
    <t>In the prior year's audited consolidated financial statements, the basis of segmentation was on a format of geographical segment. In the previous quarter ended 31/03/2011 and for the current financial year ending 31/12/2011, the basis of segmentation has been changed to operating segments based on information reported internally to the Chief Operating Decision Maker and the Board of Directors.
In the prior financial year, the Group’s operation is divided into local and export markets. The local market relates to sales to customers within Malaysia, whereas the export market to sales to overseas customers include United Kingdom, Singapore, Indonesia, Papua New Guinea and others countries being the Principal market segment.
The basis of measurement for segment profit or loss in the current quarter are consistent with prior financial year, based on standards prescribed in FRSs and other accounting guidance, which are measured at their fair value and any changes in value recognised as gains or losses in segment profit or loss. In the consolidated financial statements such assets are measured at cost less accumulated amortisation, if any. The segment information for the current quarter is as follows:</t>
  </si>
  <si>
    <t>First and final dividend of 3 sen per share single tier</t>
  </si>
  <si>
    <t xml:space="preserve">- Previous year's unutilised reinvestment allowances </t>
  </si>
  <si>
    <t>Under provision of deferred tax in prior years</t>
  </si>
  <si>
    <t xml:space="preserve">Increase/(Decrease) in Short term Trade Banker Acceptance </t>
  </si>
  <si>
    <t>Net cash flow generated from/(used) in Investing Activities</t>
  </si>
  <si>
    <t>Decrease/(Increase) in Advances to Associates</t>
  </si>
  <si>
    <t>Net cash flow generated from/(used) in Financing Activities</t>
  </si>
  <si>
    <t>Net changes in Cash and Cash Equivalents</t>
  </si>
  <si>
    <t>Cash and Cash Equivalents at Beginning of The Period</t>
  </si>
  <si>
    <t>Non-utilisation</t>
  </si>
  <si>
    <t>Listing expenses &amp; other professional fee</t>
  </si>
  <si>
    <t>Total Group retained profits as per consolidated financial statements</t>
  </si>
  <si>
    <t>(The Condensed Consolidated Statement of Comprehensive Income should be read in conjunction with the Audited Financial Statements for the year ended 31 December 2010 and the accompanying explanatory notes attached to this interim financial report.)</t>
  </si>
  <si>
    <t>(The Condensed Consolidated Statement of Financial Position should be read in conjunction with the Audited Financial Statements for the year ended 31 December 2010 and the accompanying explanatory notes attached to this interim financial report.)</t>
  </si>
  <si>
    <t>(The Condensed Statements of Changes in Equity should be read in conjunction with the Audited Financial Statements for the year ended 31 December 2010 and the accompanying explanatory notes attached to this interim financial report.)</t>
  </si>
  <si>
    <t>(The Condensed Statement of Cash Flow should be read in conjunction with the Audited Financial Statements for the year ended 31 December 2010 and the accompanying explanatory notes attached to this interim financial report.)</t>
  </si>
  <si>
    <t>Unaudited
As at</t>
  </si>
  <si>
    <t>Audited
As at</t>
  </si>
  <si>
    <t>Cumulative period</t>
  </si>
  <si>
    <t>ended</t>
  </si>
  <si>
    <t>Individual quarter</t>
  </si>
  <si>
    <t>Condensed Consolidated Statements of Comprehensive Income for the 6 months ended 30/06/2011</t>
  </si>
  <si>
    <t>The Group's objectives of managing capital are to safeguard the Group's ability to continue in operations as a going concern in order to provide fair returns for shareholders and benefits for other stakeholders and to maintain an optimal capital structure to reduce the cost of capital.
For capital management purposes, the Group considers shareholders' equity, non-controlling interests and long term liabilities to be the key components in the Group's capital structure. The Group monitors capital on the basis of the gearing ratio, which is calculated as the total liabilities to total equity. Total equity is the sum of total equity attributable to shareholders and non-controlling interests.</t>
  </si>
  <si>
    <t>Depreciation of non-qualifying property, plant &amp; equipment</t>
  </si>
  <si>
    <t>(a) Issuance of Ordinary Shares (IPO) of RM0.50 each at an issue price of RM0.57</t>
  </si>
  <si>
    <t xml:space="preserve">As disclosed in our prospectus dated 30 December 2010, our Group intends to expand our product range particularly our stainless steel tubes and pipes to cater for new market segments. In particular, we plan to introduce surface treated stainless steel tubes and pipes in the second half of the year and industrial schedule tubes and pipes by the end of the year. In addition, we intend to expand our business to Thailand, Vietnam and the Philippines. 
Premised on our above future and strategic plans and leveraging our potential as a one-stop supply centre for stainless steel and industrial hardware products, our Board is of the view that our Group will enjoy positive growth and favourable prospects in the long-term.
</t>
  </si>
  <si>
    <t>Transfer to Working Capital</t>
  </si>
  <si>
    <t>The interim financial report was duly reviewed by Audit Committee and approved by the Board of Directors on 17/08/2011.</t>
  </si>
  <si>
    <t>(a) Our gross profit margin for our marine hardware &amp; consumable segment and other industrial hardware segments dropped from 21.66% and 27.67% in the corresponding preceding period in the prior financial year to 19.73% and 17.13% respectively. The general decline in gross profit margins for both of our segments were attributed primarily to the adverse demand and competitive selling price; and
(b) Increases in administration expenses particularly listing expenses, other professional fees and improved employee benefits.</t>
  </si>
  <si>
    <t>Not applicable as the Group has not issued profit forecast or profit guarantee in a public document.</t>
  </si>
  <si>
    <t>Profit  forecast or profit guarantee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</si>
</sst>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
    <numFmt numFmtId="165" formatCode="_(* #,##0_);_(* \(#,##0\);_(* &quot;-&quot;??_);_(@_)"/>
    <numFmt numFmtId="166" formatCode="#,##0.0_);\(#,##0.0\)"/>
    <numFmt numFmtId="167" formatCode="0.0%"/>
  </numFmts>
  <fonts count="40">
    <font>
      <sz val="8"/>
      <color indexed="8"/>
      <name val="Tahoma"/>
      <family val="2"/>
    </font>
    <font>
      <sz val="11"/>
      <color indexed="8"/>
      <name val="Calibri"/>
      <family val="2"/>
    </font>
    <font>
      <sz val="9"/>
      <name val="Verdana"/>
      <family val="2"/>
    </font>
    <font>
      <sz val="9"/>
      <color indexed="8"/>
      <name val="Verdana"/>
      <family val="2"/>
    </font>
    <font>
      <b/>
      <sz val="9"/>
      <name val="Verdana"/>
      <family val="2"/>
    </font>
    <font>
      <b/>
      <sz val="9"/>
      <color indexed="8"/>
      <name val="Verdana"/>
      <family val="2"/>
    </font>
    <font>
      <sz val="8"/>
      <name val="Verdana"/>
      <family val="2"/>
    </font>
    <font>
      <b/>
      <sz val="8"/>
      <name val="Verdana"/>
      <family val="2"/>
    </font>
    <font>
      <b/>
      <u val="single"/>
      <sz val="8"/>
      <name val="Verdana"/>
      <family val="2"/>
    </font>
    <font>
      <b/>
      <i/>
      <sz val="9"/>
      <name val="Verdana"/>
      <family val="2"/>
    </font>
    <font>
      <b/>
      <sz val="9"/>
      <color indexed="13"/>
      <name val="Verdana"/>
      <family val="2"/>
    </font>
    <font>
      <sz val="9"/>
      <color indexed="13"/>
      <name val="Verdana"/>
      <family val="2"/>
    </font>
    <font>
      <i/>
      <sz val="9"/>
      <name val="Verdana"/>
      <family val="2"/>
    </font>
    <font>
      <i/>
      <sz val="9"/>
      <color indexed="8"/>
      <name val="Verdana"/>
      <family val="2"/>
    </font>
    <font>
      <b/>
      <i/>
      <sz val="9"/>
      <color indexed="8"/>
      <name val="Verdana"/>
      <family val="2"/>
    </font>
    <font>
      <sz val="8"/>
      <color indexed="8"/>
      <name val="Verdana"/>
      <family val="2"/>
    </font>
    <font>
      <b/>
      <sz val="8"/>
      <color indexed="8"/>
      <name val="Verdana"/>
      <family val="2"/>
    </font>
    <font>
      <i/>
      <sz val="8"/>
      <name val="Verdana"/>
      <family val="2"/>
    </font>
    <font>
      <i/>
      <sz val="8"/>
      <color indexed="8"/>
      <name val="Tahoma"/>
      <family val="2"/>
    </font>
    <font>
      <sz val="8"/>
      <color indexed="13"/>
      <name val="Tahoma"/>
      <family val="2"/>
    </font>
    <font>
      <b/>
      <sz val="8"/>
      <color indexed="10"/>
      <name val="Verdana"/>
      <family val="2"/>
    </font>
    <font>
      <b/>
      <sz val="8"/>
      <color indexed="8"/>
      <name val="Tahoma"/>
      <family val="2"/>
    </font>
    <font>
      <b/>
      <sz val="8"/>
      <color indexed="13"/>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style="thin"/>
      <bottom style="double"/>
    </border>
    <border>
      <left/>
      <right/>
      <top style="thin"/>
      <bottom style="thin"/>
    </border>
    <border>
      <left/>
      <right/>
      <top/>
      <bottom style="double"/>
    </border>
    <border>
      <left/>
      <right/>
      <top style="thin"/>
      <bottom/>
    </border>
    <border>
      <left style="thin"/>
      <right style="thin"/>
      <top/>
      <bottom/>
    </border>
    <border>
      <left style="thin"/>
      <right style="thin"/>
      <top/>
      <bottom style="thin"/>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style="thin"/>
      <top style="thin"/>
      <bottom style="thin"/>
    </border>
    <border>
      <left style="thin"/>
      <right style="thin"/>
      <top style="thin"/>
      <bottom style="thin"/>
    </border>
    <border>
      <left style="thin"/>
      <right style="thin"/>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28" fillId="3" borderId="0" applyNumberFormat="0" applyBorder="0" applyAlignment="0" applyProtection="0"/>
    <xf numFmtId="0" fontId="32" fillId="20" borderId="1" applyNumberFormat="0" applyAlignment="0" applyProtection="0"/>
    <xf numFmtId="0" fontId="3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7"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30" fillId="7" borderId="1" applyNumberFormat="0" applyAlignment="0" applyProtection="0"/>
    <xf numFmtId="0" fontId="33"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37" fillId="0" borderId="9" applyNumberFormat="0" applyFill="0" applyAlignment="0" applyProtection="0"/>
    <xf numFmtId="0" fontId="35" fillId="0" borderId="0" applyNumberFormat="0" applyFill="0" applyBorder="0" applyAlignment="0" applyProtection="0"/>
  </cellStyleXfs>
  <cellXfs count="247">
    <xf numFmtId="0" fontId="0" fillId="0" borderId="0" xfId="0" applyAlignment="1">
      <alignment/>
    </xf>
    <xf numFmtId="0" fontId="2" fillId="24" borderId="0" xfId="0" applyFont="1" applyFill="1" applyAlignment="1">
      <alignment vertical="center"/>
    </xf>
    <xf numFmtId="0" fontId="2" fillId="24" borderId="0" xfId="0" applyFont="1" applyFill="1" applyBorder="1" applyAlignment="1">
      <alignment vertical="center"/>
    </xf>
    <xf numFmtId="0" fontId="3" fillId="21" borderId="0" xfId="0" applyFont="1" applyFill="1" applyAlignment="1">
      <alignment/>
    </xf>
    <xf numFmtId="0" fontId="4" fillId="24" borderId="0" xfId="0" applyFont="1" applyFill="1" applyAlignment="1">
      <alignment vertical="center"/>
    </xf>
    <xf numFmtId="43" fontId="2" fillId="24" borderId="0" xfId="42" applyFont="1" applyFill="1" applyAlignment="1">
      <alignment vertical="center"/>
    </xf>
    <xf numFmtId="0" fontId="4" fillId="24" borderId="0" xfId="0" applyFont="1" applyFill="1" applyAlignment="1">
      <alignment horizontal="center" vertical="center"/>
    </xf>
    <xf numFmtId="43" fontId="2" fillId="24" borderId="0" xfId="0" applyNumberFormat="1" applyFont="1" applyFill="1" applyAlignment="1">
      <alignment vertical="center"/>
    </xf>
    <xf numFmtId="165" fontId="2" fillId="24" borderId="0" xfId="42" applyNumberFormat="1" applyFont="1" applyFill="1" applyAlignment="1">
      <alignment vertical="center"/>
    </xf>
    <xf numFmtId="165" fontId="3" fillId="24" borderId="0" xfId="42" applyNumberFormat="1" applyFont="1" applyFill="1" applyAlignment="1">
      <alignment horizontal="right" vertical="center"/>
    </xf>
    <xf numFmtId="165" fontId="2" fillId="24" borderId="0" xfId="42" applyNumberFormat="1" applyFont="1" applyFill="1" applyBorder="1" applyAlignment="1">
      <alignment vertical="center"/>
    </xf>
    <xf numFmtId="165" fontId="2" fillId="24" borderId="10" xfId="42" applyNumberFormat="1" applyFont="1" applyFill="1" applyBorder="1" applyAlignment="1">
      <alignment vertical="center"/>
    </xf>
    <xf numFmtId="43" fontId="4" fillId="24" borderId="0" xfId="0" applyNumberFormat="1" applyFont="1" applyFill="1" applyAlignment="1">
      <alignment vertical="center"/>
    </xf>
    <xf numFmtId="165" fontId="4" fillId="24" borderId="0" xfId="42" applyNumberFormat="1" applyFont="1" applyFill="1" applyAlignment="1">
      <alignment vertical="center"/>
    </xf>
    <xf numFmtId="165" fontId="5" fillId="24" borderId="0" xfId="42" applyNumberFormat="1" applyFont="1" applyFill="1" applyAlignment="1">
      <alignment horizontal="right" vertical="center"/>
    </xf>
    <xf numFmtId="165" fontId="4" fillId="24" borderId="0" xfId="42" applyNumberFormat="1" applyFont="1" applyFill="1" applyBorder="1" applyAlignment="1">
      <alignment vertical="center"/>
    </xf>
    <xf numFmtId="9" fontId="2" fillId="24" borderId="0" xfId="57" applyFont="1" applyFill="1" applyAlignment="1">
      <alignment vertical="center"/>
    </xf>
    <xf numFmtId="9" fontId="3" fillId="24" borderId="0" xfId="57" applyFont="1" applyFill="1" applyAlignment="1">
      <alignment horizontal="right" vertical="center"/>
    </xf>
    <xf numFmtId="165" fontId="4" fillId="24" borderId="11" xfId="42" applyNumberFormat="1" applyFont="1" applyFill="1" applyBorder="1" applyAlignment="1">
      <alignment vertical="center"/>
    </xf>
    <xf numFmtId="165" fontId="3" fillId="24" borderId="0" xfId="42" applyNumberFormat="1" applyFont="1" applyFill="1" applyBorder="1" applyAlignment="1">
      <alignment horizontal="right" vertical="center"/>
    </xf>
    <xf numFmtId="0" fontId="3" fillId="24" borderId="0" xfId="0" applyFont="1" applyFill="1" applyAlignment="1">
      <alignment horizontal="right" vertical="center"/>
    </xf>
    <xf numFmtId="0" fontId="2" fillId="24" borderId="0" xfId="0" applyFont="1" applyFill="1" applyAlignment="1">
      <alignment horizontal="center" vertical="center"/>
    </xf>
    <xf numFmtId="43" fontId="2" fillId="24" borderId="0" xfId="0" applyNumberFormat="1" applyFont="1" applyFill="1" applyBorder="1" applyAlignment="1">
      <alignment vertical="center"/>
    </xf>
    <xf numFmtId="43" fontId="2" fillId="24" borderId="0" xfId="42" applyFont="1" applyFill="1" applyBorder="1" applyAlignment="1">
      <alignment horizontal="right" vertical="center"/>
    </xf>
    <xf numFmtId="43" fontId="3" fillId="24" borderId="0" xfId="42" applyFont="1" applyFill="1" applyBorder="1" applyAlignment="1">
      <alignment horizontal="right" vertical="center"/>
    </xf>
    <xf numFmtId="0" fontId="3" fillId="24" borderId="0" xfId="0" applyFont="1" applyFill="1" applyAlignment="1">
      <alignment vertical="center"/>
    </xf>
    <xf numFmtId="43" fontId="2" fillId="24" borderId="0" xfId="42" applyNumberFormat="1" applyFont="1" applyFill="1" applyBorder="1" applyAlignment="1">
      <alignment vertical="center"/>
    </xf>
    <xf numFmtId="0" fontId="2" fillId="24" borderId="0" xfId="42" applyNumberFormat="1" applyFont="1" applyFill="1" applyAlignment="1">
      <alignment vertical="center"/>
    </xf>
    <xf numFmtId="0" fontId="4" fillId="24" borderId="0" xfId="42" applyNumberFormat="1" applyFont="1" applyFill="1" applyAlignment="1">
      <alignment vertical="center"/>
    </xf>
    <xf numFmtId="43" fontId="4" fillId="24" borderId="0" xfId="42" applyFont="1" applyFill="1" applyAlignment="1">
      <alignment horizontal="center" vertical="center"/>
    </xf>
    <xf numFmtId="0" fontId="2" fillId="24" borderId="0" xfId="42" applyNumberFormat="1" applyFont="1" applyFill="1" applyAlignment="1">
      <alignment horizontal="left" vertical="center" indent="1"/>
    </xf>
    <xf numFmtId="0" fontId="6" fillId="24" borderId="0" xfId="0" applyFont="1" applyFill="1" applyAlignment="1">
      <alignment vertical="center"/>
    </xf>
    <xf numFmtId="43" fontId="6" fillId="24" borderId="0" xfId="42" applyNumberFormat="1" applyFont="1" applyFill="1" applyBorder="1" applyAlignment="1">
      <alignment vertical="center"/>
    </xf>
    <xf numFmtId="0" fontId="4" fillId="24" borderId="0" xfId="42" applyNumberFormat="1" applyFont="1" applyFill="1" applyAlignment="1">
      <alignment vertical="top"/>
    </xf>
    <xf numFmtId="0" fontId="3" fillId="21" borderId="0" xfId="0" applyFont="1" applyFill="1" applyAlignment="1">
      <alignment vertical="center"/>
    </xf>
    <xf numFmtId="165" fontId="2" fillId="24" borderId="0" xfId="42" applyNumberFormat="1" applyFont="1" applyFill="1" applyAlignment="1">
      <alignment horizontal="center" vertical="center"/>
    </xf>
    <xf numFmtId="0" fontId="2" fillId="24" borderId="0" xfId="0" applyFont="1" applyFill="1" applyAlignment="1">
      <alignment horizontal="left" vertical="center"/>
    </xf>
    <xf numFmtId="165" fontId="2" fillId="24" borderId="0" xfId="42" applyNumberFormat="1" applyFont="1" applyFill="1" applyAlignment="1">
      <alignment horizontal="right" vertical="center"/>
    </xf>
    <xf numFmtId="43" fontId="2" fillId="24" borderId="0" xfId="42" applyNumberFormat="1" applyFont="1" applyFill="1" applyBorder="1" applyAlignment="1">
      <alignment horizontal="center" vertical="center"/>
    </xf>
    <xf numFmtId="165" fontId="4" fillId="24" borderId="12" xfId="42" applyNumberFormat="1" applyFont="1" applyFill="1" applyBorder="1" applyAlignment="1">
      <alignment vertical="center"/>
    </xf>
    <xf numFmtId="0" fontId="5" fillId="21" borderId="0" xfId="0" applyFont="1" applyFill="1" applyAlignment="1">
      <alignment vertical="center"/>
    </xf>
    <xf numFmtId="165" fontId="2" fillId="24" borderId="10" xfId="42" applyNumberFormat="1" applyFont="1" applyFill="1" applyBorder="1" applyAlignment="1">
      <alignment horizontal="right" vertical="center"/>
    </xf>
    <xf numFmtId="0" fontId="4" fillId="24" borderId="0" xfId="0" applyFont="1" applyFill="1" applyAlignment="1">
      <alignment horizontal="left" vertical="center"/>
    </xf>
    <xf numFmtId="165" fontId="4" fillId="24" borderId="13" xfId="42" applyNumberFormat="1" applyFont="1" applyFill="1" applyBorder="1" applyAlignment="1">
      <alignment vertical="center"/>
    </xf>
    <xf numFmtId="165" fontId="4" fillId="24" borderId="0" xfId="42" applyNumberFormat="1" applyFont="1" applyFill="1" applyBorder="1" applyAlignment="1">
      <alignment horizontal="right" vertical="center"/>
    </xf>
    <xf numFmtId="0" fontId="7" fillId="24" borderId="0" xfId="42" applyNumberFormat="1" applyFont="1" applyFill="1" applyAlignment="1">
      <alignment vertical="center"/>
    </xf>
    <xf numFmtId="0" fontId="7" fillId="24" borderId="0" xfId="0" applyFont="1" applyFill="1" applyAlignment="1">
      <alignment vertical="center"/>
    </xf>
    <xf numFmtId="0" fontId="5" fillId="24" borderId="0" xfId="0" applyFont="1" applyFill="1" applyAlignment="1">
      <alignment vertical="center"/>
    </xf>
    <xf numFmtId="0" fontId="8" fillId="24" borderId="0" xfId="0" applyFont="1" applyFill="1" applyAlignment="1">
      <alignment vertical="center"/>
    </xf>
    <xf numFmtId="49" fontId="3" fillId="21" borderId="0" xfId="0" applyNumberFormat="1" applyFont="1" applyFill="1" applyAlignment="1">
      <alignment vertical="center"/>
    </xf>
    <xf numFmtId="165" fontId="2" fillId="24" borderId="0" xfId="42" applyNumberFormat="1" applyFont="1" applyFill="1" applyBorder="1" applyAlignment="1">
      <alignment horizontal="right" vertical="center"/>
    </xf>
    <xf numFmtId="165" fontId="4" fillId="24" borderId="0" xfId="42" applyNumberFormat="1" applyFont="1" applyFill="1" applyAlignment="1">
      <alignment horizontal="right" vertical="center"/>
    </xf>
    <xf numFmtId="0" fontId="2" fillId="24" borderId="0" xfId="0" applyFont="1" applyFill="1" applyAlignment="1">
      <alignment horizontal="left" vertical="center" indent="1"/>
    </xf>
    <xf numFmtId="0" fontId="3" fillId="24" borderId="0" xfId="0" applyFont="1" applyFill="1" applyAlignment="1">
      <alignment horizontal="left" vertical="center" indent="1"/>
    </xf>
    <xf numFmtId="165" fontId="4" fillId="24" borderId="14" xfId="42" applyNumberFormat="1" applyFont="1" applyFill="1" applyBorder="1" applyAlignment="1">
      <alignment vertical="center"/>
    </xf>
    <xf numFmtId="165" fontId="4" fillId="24" borderId="11" xfId="42" applyNumberFormat="1" applyFont="1" applyFill="1" applyBorder="1" applyAlignment="1">
      <alignment horizontal="right" vertical="center"/>
    </xf>
    <xf numFmtId="43" fontId="3" fillId="21" borderId="0" xfId="42" applyFont="1" applyFill="1" applyAlignment="1">
      <alignment vertical="center"/>
    </xf>
    <xf numFmtId="165" fontId="2" fillId="24" borderId="14" xfId="42" applyNumberFormat="1" applyFont="1" applyFill="1" applyBorder="1" applyAlignment="1">
      <alignment vertical="center"/>
    </xf>
    <xf numFmtId="165" fontId="2" fillId="24" borderId="14" xfId="42" applyNumberFormat="1" applyFont="1" applyFill="1" applyBorder="1" applyAlignment="1">
      <alignment horizontal="right" vertical="center"/>
    </xf>
    <xf numFmtId="14" fontId="3" fillId="21" borderId="0" xfId="0" applyNumberFormat="1" applyFont="1" applyFill="1" applyAlignment="1">
      <alignment/>
    </xf>
    <xf numFmtId="165" fontId="10" fillId="21" borderId="0" xfId="0" applyNumberFormat="1" applyFont="1" applyFill="1" applyAlignment="1">
      <alignment vertical="center"/>
    </xf>
    <xf numFmtId="165" fontId="11" fillId="21" borderId="0" xfId="0" applyNumberFormat="1" applyFont="1" applyFill="1" applyAlignment="1">
      <alignment vertical="center"/>
    </xf>
    <xf numFmtId="0" fontId="5" fillId="24" borderId="0" xfId="0" applyFont="1" applyFill="1" applyAlignment="1">
      <alignment horizontal="right" vertical="center"/>
    </xf>
    <xf numFmtId="0" fontId="5" fillId="24" borderId="0" xfId="0" applyFont="1" applyFill="1" applyAlignment="1">
      <alignment horizontal="right" vertical="center" wrapText="1"/>
    </xf>
    <xf numFmtId="0" fontId="4" fillId="24" borderId="0" xfId="0" applyNumberFormat="1" applyFont="1" applyFill="1" applyAlignment="1">
      <alignment vertical="center"/>
    </xf>
    <xf numFmtId="0" fontId="9" fillId="24" borderId="0" xfId="0" applyFont="1" applyFill="1" applyAlignment="1">
      <alignment vertical="center"/>
    </xf>
    <xf numFmtId="0" fontId="12" fillId="24" borderId="0" xfId="0" applyFont="1" applyFill="1" applyAlignment="1">
      <alignment vertical="center"/>
    </xf>
    <xf numFmtId="165" fontId="9" fillId="24" borderId="0" xfId="42" applyNumberFormat="1" applyFont="1" applyFill="1" applyBorder="1" applyAlignment="1">
      <alignment vertical="center"/>
    </xf>
    <xf numFmtId="0" fontId="13" fillId="21" borderId="0" xfId="0" applyFont="1" applyFill="1" applyAlignment="1">
      <alignment vertical="center"/>
    </xf>
    <xf numFmtId="165" fontId="9" fillId="24" borderId="10" xfId="42" applyNumberFormat="1" applyFont="1" applyFill="1" applyBorder="1" applyAlignment="1">
      <alignment vertical="center"/>
    </xf>
    <xf numFmtId="0" fontId="14" fillId="21" borderId="0" xfId="0" applyFont="1" applyFill="1" applyAlignment="1">
      <alignment vertical="center"/>
    </xf>
    <xf numFmtId="0" fontId="3" fillId="21" borderId="0" xfId="0" applyFont="1" applyFill="1" applyBorder="1" applyAlignment="1">
      <alignment vertical="center"/>
    </xf>
    <xf numFmtId="4" fontId="9" fillId="24" borderId="0" xfId="0" applyNumberFormat="1" applyFont="1" applyFill="1" applyAlignment="1">
      <alignment vertical="center"/>
    </xf>
    <xf numFmtId="4" fontId="2" fillId="24" borderId="0" xfId="0" applyNumberFormat="1" applyFont="1" applyFill="1" applyAlignment="1">
      <alignment horizontal="left" vertical="center" indent="1"/>
    </xf>
    <xf numFmtId="0" fontId="9" fillId="24" borderId="0" xfId="42" applyNumberFormat="1" applyFont="1" applyFill="1" applyAlignment="1">
      <alignment vertical="center"/>
    </xf>
    <xf numFmtId="0" fontId="4" fillId="24" borderId="0" xfId="42" applyNumberFormat="1" applyFont="1" applyFill="1" applyAlignment="1">
      <alignment horizontal="right" vertical="center"/>
    </xf>
    <xf numFmtId="0" fontId="4" fillId="24" borderId="0" xfId="42" applyNumberFormat="1" applyFont="1" applyFill="1" applyBorder="1" applyAlignment="1">
      <alignment horizontal="right" vertical="center"/>
    </xf>
    <xf numFmtId="0" fontId="4" fillId="24" borderId="0" xfId="0" applyNumberFormat="1" applyFont="1" applyFill="1" applyAlignment="1" applyProtection="1" quotePrefix="1">
      <alignment horizontal="right" vertical="center"/>
      <protection hidden="1"/>
    </xf>
    <xf numFmtId="14" fontId="4" fillId="24" borderId="0" xfId="0" applyNumberFormat="1" applyFont="1" applyFill="1" applyAlignment="1" applyProtection="1" quotePrefix="1">
      <alignment horizontal="right" vertical="center"/>
      <protection hidden="1"/>
    </xf>
    <xf numFmtId="14" fontId="7" fillId="24" borderId="0" xfId="0" applyNumberFormat="1" applyFont="1" applyFill="1" applyAlignment="1" applyProtection="1" quotePrefix="1">
      <alignment horizontal="right" vertical="center"/>
      <protection hidden="1"/>
    </xf>
    <xf numFmtId="14" fontId="7" fillId="24" borderId="0" xfId="42" applyNumberFormat="1" applyFont="1" applyFill="1" applyBorder="1" applyAlignment="1" applyProtection="1" quotePrefix="1">
      <alignment horizontal="right" vertical="center"/>
      <protection hidden="1"/>
    </xf>
    <xf numFmtId="0" fontId="7" fillId="24" borderId="0" xfId="0" applyFont="1" applyFill="1" applyAlignment="1">
      <alignment horizontal="left" vertical="top"/>
    </xf>
    <xf numFmtId="0" fontId="6" fillId="24" borderId="0" xfId="0" applyFont="1" applyFill="1" applyAlignment="1">
      <alignment horizontal="left" vertical="top"/>
    </xf>
    <xf numFmtId="0" fontId="0" fillId="21" borderId="0" xfId="0" applyFont="1" applyFill="1" applyAlignment="1">
      <alignment vertical="top"/>
    </xf>
    <xf numFmtId="0" fontId="15" fillId="21" borderId="0" xfId="0" applyFont="1" applyFill="1" applyAlignment="1">
      <alignment vertical="center"/>
    </xf>
    <xf numFmtId="0" fontId="0" fillId="21" borderId="0" xfId="0" applyFont="1" applyFill="1" applyAlignment="1">
      <alignment/>
    </xf>
    <xf numFmtId="0" fontId="8" fillId="24" borderId="0" xfId="0" applyFont="1" applyFill="1" applyBorder="1" applyAlignment="1">
      <alignment horizontal="center" vertical="center"/>
    </xf>
    <xf numFmtId="43" fontId="16" fillId="24" borderId="0" xfId="42" applyFont="1" applyFill="1" applyBorder="1" applyAlignment="1">
      <alignment horizontal="right" vertical="center"/>
    </xf>
    <xf numFmtId="0" fontId="7" fillId="24" borderId="0" xfId="42" applyNumberFormat="1" applyFont="1" applyFill="1" applyAlignment="1">
      <alignment horizontal="right" vertical="center"/>
    </xf>
    <xf numFmtId="0" fontId="7" fillId="24" borderId="0" xfId="42" applyNumberFormat="1" applyFont="1" applyFill="1" applyBorder="1" applyAlignment="1">
      <alignment horizontal="right" vertical="center"/>
    </xf>
    <xf numFmtId="0" fontId="17" fillId="24" borderId="0" xfId="42" applyNumberFormat="1" applyFont="1" applyFill="1" applyAlignment="1">
      <alignment vertical="top"/>
    </xf>
    <xf numFmtId="164" fontId="7" fillId="24" borderId="0" xfId="0" applyNumberFormat="1" applyFont="1" applyFill="1" applyAlignment="1" applyProtection="1" quotePrefix="1">
      <alignment horizontal="right" vertical="center"/>
      <protection hidden="1"/>
    </xf>
    <xf numFmtId="43" fontId="7" fillId="24" borderId="0" xfId="42" applyFont="1" applyFill="1" applyAlignment="1">
      <alignment horizontal="center" wrapText="1"/>
    </xf>
    <xf numFmtId="0" fontId="8" fillId="24" borderId="0" xfId="42" applyNumberFormat="1" applyFont="1" applyFill="1" applyBorder="1" applyAlignment="1" applyProtection="1" quotePrefix="1">
      <alignment horizontal="right" vertical="center"/>
      <protection hidden="1"/>
    </xf>
    <xf numFmtId="0" fontId="7" fillId="24" borderId="0" xfId="0" applyFont="1" applyFill="1" applyAlignment="1">
      <alignment horizontal="justify" vertical="top"/>
    </xf>
    <xf numFmtId="0" fontId="6" fillId="24" borderId="0" xfId="0" applyFont="1" applyFill="1" applyAlignment="1">
      <alignment horizontal="justify" vertical="top"/>
    </xf>
    <xf numFmtId="0" fontId="0" fillId="21" borderId="0" xfId="0" applyFont="1" applyFill="1" applyAlignment="1">
      <alignment horizontal="justify" vertical="top"/>
    </xf>
    <xf numFmtId="0" fontId="7" fillId="24" borderId="0" xfId="0" applyFont="1" applyFill="1" applyAlignment="1">
      <alignment vertical="top"/>
    </xf>
    <xf numFmtId="0" fontId="6" fillId="24" borderId="0" xfId="0" applyFont="1" applyFill="1" applyAlignment="1">
      <alignment horizontal="justify" vertical="center"/>
    </xf>
    <xf numFmtId="0" fontId="6" fillId="24" borderId="0" xfId="0" applyFont="1" applyFill="1" applyAlignment="1">
      <alignment horizontal="justify" vertical="center" wrapText="1"/>
    </xf>
    <xf numFmtId="0" fontId="0" fillId="21" borderId="0" xfId="0" applyFont="1" applyFill="1" applyAlignment="1">
      <alignment horizontal="justify" vertical="center"/>
    </xf>
    <xf numFmtId="0" fontId="6" fillId="24" borderId="0" xfId="0" applyNumberFormat="1" applyFont="1" applyFill="1" applyAlignment="1">
      <alignment horizontal="left" vertical="center"/>
    </xf>
    <xf numFmtId="9" fontId="6" fillId="24" borderId="0" xfId="57" applyFont="1" applyFill="1" applyAlignment="1">
      <alignment horizontal="right" vertical="center"/>
    </xf>
    <xf numFmtId="165" fontId="6" fillId="24" borderId="0" xfId="42" applyNumberFormat="1" applyFont="1" applyFill="1" applyAlignment="1">
      <alignment horizontal="center" vertical="center"/>
    </xf>
    <xf numFmtId="0" fontId="6" fillId="24" borderId="0" xfId="0" applyFont="1" applyFill="1" applyAlignment="1">
      <alignment horizontal="center" vertical="top"/>
    </xf>
    <xf numFmtId="0" fontId="6" fillId="24" borderId="0" xfId="0" applyFont="1" applyFill="1" applyAlignment="1">
      <alignment horizontal="center" vertical="top" wrapText="1"/>
    </xf>
    <xf numFmtId="0" fontId="6" fillId="24" borderId="0" xfId="0" applyFont="1" applyFill="1" applyBorder="1" applyAlignment="1">
      <alignment horizontal="justify" vertical="top"/>
    </xf>
    <xf numFmtId="0" fontId="6" fillId="24" borderId="0" xfId="0" applyFont="1" applyFill="1" applyBorder="1" applyAlignment="1">
      <alignment vertical="center"/>
    </xf>
    <xf numFmtId="0" fontId="6" fillId="24" borderId="0" xfId="0" applyFont="1" applyFill="1" applyBorder="1" applyAlignment="1">
      <alignment/>
    </xf>
    <xf numFmtId="0" fontId="6" fillId="24" borderId="0" xfId="0" applyFont="1" applyFill="1" applyBorder="1" applyAlignment="1">
      <alignment horizontal="center" wrapText="1"/>
    </xf>
    <xf numFmtId="0" fontId="6" fillId="24" borderId="0" xfId="0" applyFont="1" applyFill="1" applyBorder="1" applyAlignment="1">
      <alignment vertical="top"/>
    </xf>
    <xf numFmtId="0" fontId="6" fillId="24" borderId="0" xfId="0" applyFont="1" applyFill="1" applyAlignment="1">
      <alignment horizontal="right" vertical="top"/>
    </xf>
    <xf numFmtId="0" fontId="6" fillId="24" borderId="0" xfId="42" applyNumberFormat="1" applyFont="1" applyFill="1" applyBorder="1" applyAlignment="1">
      <alignment horizontal="center" vertical="center"/>
    </xf>
    <xf numFmtId="165" fontId="6" fillId="24" borderId="0" xfId="42" applyNumberFormat="1" applyFont="1" applyFill="1" applyBorder="1" applyAlignment="1">
      <alignment horizontal="justify" vertical="center"/>
    </xf>
    <xf numFmtId="0" fontId="7" fillId="24" borderId="0" xfId="42" applyNumberFormat="1" applyFont="1" applyFill="1" applyBorder="1" applyAlignment="1">
      <alignment horizontal="center" vertical="center"/>
    </xf>
    <xf numFmtId="43" fontId="6" fillId="24" borderId="0" xfId="42" applyFont="1" applyFill="1" applyAlignment="1">
      <alignment horizontal="right" vertical="center"/>
    </xf>
    <xf numFmtId="0" fontId="3" fillId="21" borderId="0" xfId="0" applyFont="1" applyFill="1" applyAlignment="1">
      <alignment horizontal="right"/>
    </xf>
    <xf numFmtId="0" fontId="3" fillId="21" borderId="0" xfId="0" applyFont="1" applyFill="1" applyAlignment="1">
      <alignment horizontal="center"/>
    </xf>
    <xf numFmtId="0" fontId="15" fillId="21" borderId="0" xfId="0" applyFont="1" applyFill="1" applyAlignment="1">
      <alignment horizontal="center"/>
    </xf>
    <xf numFmtId="0" fontId="3" fillId="21" borderId="0" xfId="0" applyFont="1" applyFill="1" applyAlignment="1">
      <alignment horizontal="center" vertical="center"/>
    </xf>
    <xf numFmtId="39" fontId="15" fillId="21" borderId="0" xfId="0" applyNumberFormat="1" applyFont="1" applyFill="1" applyAlignment="1">
      <alignment horizontal="right"/>
    </xf>
    <xf numFmtId="39" fontId="15" fillId="21" borderId="11" xfId="0" applyNumberFormat="1" applyFont="1" applyFill="1" applyBorder="1" applyAlignment="1">
      <alignment horizontal="right"/>
    </xf>
    <xf numFmtId="14" fontId="6" fillId="24" borderId="0" xfId="0" applyNumberFormat="1" applyFont="1" applyFill="1" applyAlignment="1">
      <alignment horizontal="center" vertical="top"/>
    </xf>
    <xf numFmtId="14" fontId="6" fillId="24" borderId="0" xfId="0" applyNumberFormat="1" applyFont="1" applyFill="1" applyAlignment="1">
      <alignment horizontal="center" vertical="center"/>
    </xf>
    <xf numFmtId="0" fontId="6" fillId="24" borderId="0" xfId="0" applyFont="1" applyFill="1" applyAlignment="1">
      <alignment horizontal="left" vertical="center"/>
    </xf>
    <xf numFmtId="165" fontId="6" fillId="24" borderId="13" xfId="42" applyNumberFormat="1" applyFont="1" applyFill="1" applyBorder="1" applyAlignment="1">
      <alignment horizontal="justify" vertical="center"/>
    </xf>
    <xf numFmtId="165" fontId="7" fillId="24" borderId="11" xfId="42" applyNumberFormat="1" applyFont="1" applyFill="1" applyBorder="1" applyAlignment="1">
      <alignment vertical="center"/>
    </xf>
    <xf numFmtId="165" fontId="7" fillId="24" borderId="13" xfId="42" applyNumberFormat="1" applyFont="1" applyFill="1" applyBorder="1" applyAlignment="1">
      <alignment vertical="center"/>
    </xf>
    <xf numFmtId="165" fontId="7" fillId="24" borderId="11" xfId="42" applyNumberFormat="1" applyFont="1" applyFill="1" applyBorder="1" applyAlignment="1">
      <alignment horizontal="center" vertical="center"/>
    </xf>
    <xf numFmtId="0" fontId="6" fillId="24" borderId="0" xfId="0" applyFont="1" applyFill="1" applyAlignment="1">
      <alignment horizontal="center" vertical="center"/>
    </xf>
    <xf numFmtId="165" fontId="6" fillId="24" borderId="0" xfId="42" applyNumberFormat="1" applyFont="1" applyFill="1" applyAlignment="1">
      <alignment horizontal="justify" vertical="center"/>
    </xf>
    <xf numFmtId="165" fontId="6" fillId="24" borderId="14" xfId="42" applyNumberFormat="1" applyFont="1" applyFill="1" applyBorder="1" applyAlignment="1">
      <alignment horizontal="justify" vertical="center"/>
    </xf>
    <xf numFmtId="0" fontId="6" fillId="24" borderId="0" xfId="0" applyFont="1" applyFill="1" applyBorder="1" applyAlignment="1">
      <alignment horizontal="justify" vertical="center"/>
    </xf>
    <xf numFmtId="165" fontId="7" fillId="24" borderId="11" xfId="42" applyNumberFormat="1" applyFont="1" applyFill="1" applyBorder="1" applyAlignment="1">
      <alignment horizontal="justify" vertical="center"/>
    </xf>
    <xf numFmtId="0" fontId="6" fillId="24" borderId="0" xfId="0" applyFont="1" applyFill="1" applyAlignment="1">
      <alignment horizontal="left" vertical="center" indent="1"/>
    </xf>
    <xf numFmtId="165" fontId="7" fillId="24" borderId="0" xfId="42" applyNumberFormat="1" applyFont="1" applyFill="1" applyBorder="1" applyAlignment="1">
      <alignment horizontal="justify" vertical="center"/>
    </xf>
    <xf numFmtId="0" fontId="16" fillId="21" borderId="0" xfId="0" applyFont="1" applyFill="1" applyAlignment="1">
      <alignment horizontal="center"/>
    </xf>
    <xf numFmtId="14" fontId="16" fillId="21" borderId="0" xfId="0" applyNumberFormat="1" applyFont="1" applyFill="1" applyAlignment="1">
      <alignment/>
    </xf>
    <xf numFmtId="39" fontId="15" fillId="21" borderId="0" xfId="0" applyNumberFormat="1" applyFont="1" applyFill="1" applyBorder="1" applyAlignment="1">
      <alignment horizontal="right"/>
    </xf>
    <xf numFmtId="39" fontId="15" fillId="21" borderId="14" xfId="0" applyNumberFormat="1" applyFont="1" applyFill="1" applyBorder="1" applyAlignment="1">
      <alignment horizontal="right"/>
    </xf>
    <xf numFmtId="0" fontId="15" fillId="21" borderId="0" xfId="0" applyFont="1" applyFill="1" applyAlignment="1">
      <alignment horizontal="left"/>
    </xf>
    <xf numFmtId="165" fontId="6" fillId="24" borderId="0" xfId="42" applyNumberFormat="1" applyFont="1" applyFill="1" applyAlignment="1">
      <alignment horizontal="right" vertical="center"/>
    </xf>
    <xf numFmtId="165" fontId="6" fillId="24" borderId="11" xfId="42" applyNumberFormat="1" applyFont="1" applyFill="1" applyBorder="1" applyAlignment="1">
      <alignment vertical="center"/>
    </xf>
    <xf numFmtId="165" fontId="6" fillId="24" borderId="11" xfId="0" applyNumberFormat="1" applyFont="1" applyFill="1" applyBorder="1" applyAlignment="1">
      <alignment vertical="center"/>
    </xf>
    <xf numFmtId="0" fontId="6" fillId="24" borderId="0" xfId="0" applyFont="1" applyFill="1" applyAlignment="1" quotePrefix="1">
      <alignment horizontal="center" vertical="center"/>
    </xf>
    <xf numFmtId="165" fontId="6" fillId="24" borderId="0" xfId="42" applyNumberFormat="1" applyFont="1" applyFill="1" applyBorder="1" applyAlignment="1">
      <alignment horizontal="justify"/>
    </xf>
    <xf numFmtId="165" fontId="6" fillId="24" borderId="13" xfId="42" applyNumberFormat="1" applyFont="1" applyFill="1" applyBorder="1" applyAlignment="1">
      <alignment/>
    </xf>
    <xf numFmtId="0" fontId="6" fillId="24" borderId="0" xfId="0" applyFont="1" applyFill="1" applyBorder="1" applyAlignment="1">
      <alignment horizontal="justify"/>
    </xf>
    <xf numFmtId="0" fontId="6" fillId="24" borderId="0" xfId="0" applyFont="1" applyFill="1" applyAlignment="1">
      <alignment vertical="top" wrapText="1"/>
    </xf>
    <xf numFmtId="165" fontId="6" fillId="24" borderId="0" xfId="42" applyNumberFormat="1" applyFont="1" applyFill="1" applyAlignment="1">
      <alignment vertical="top" wrapText="1"/>
    </xf>
    <xf numFmtId="165" fontId="19" fillId="21" borderId="0" xfId="0" applyNumberFormat="1" applyFont="1" applyFill="1" applyAlignment="1">
      <alignment horizontal="justify" vertical="top"/>
    </xf>
    <xf numFmtId="0" fontId="19" fillId="21" borderId="0" xfId="0" applyFont="1" applyFill="1" applyAlignment="1">
      <alignment horizontal="justify" vertical="top"/>
    </xf>
    <xf numFmtId="0" fontId="6" fillId="24" borderId="15" xfId="0" applyFont="1" applyFill="1" applyBorder="1" applyAlignment="1">
      <alignment horizontal="center" vertical="center"/>
    </xf>
    <xf numFmtId="165" fontId="6" fillId="24" borderId="15" xfId="42" applyNumberFormat="1" applyFont="1" applyFill="1" applyBorder="1" applyAlignment="1">
      <alignment vertical="center"/>
    </xf>
    <xf numFmtId="165" fontId="6" fillId="24" borderId="15" xfId="42" applyNumberFormat="1" applyFont="1" applyFill="1" applyBorder="1" applyAlignment="1">
      <alignment horizontal="justify" vertical="center"/>
    </xf>
    <xf numFmtId="165" fontId="6" fillId="24" borderId="16" xfId="42" applyNumberFormat="1" applyFont="1" applyFill="1" applyBorder="1" applyAlignment="1">
      <alignment vertical="center"/>
    </xf>
    <xf numFmtId="165" fontId="6" fillId="24" borderId="15" xfId="42" applyNumberFormat="1" applyFont="1" applyFill="1" applyBorder="1" applyAlignment="1">
      <alignment horizontal="right" vertical="center"/>
    </xf>
    <xf numFmtId="165" fontId="6" fillId="24" borderId="16" xfId="42" applyNumberFormat="1" applyFont="1" applyFill="1" applyBorder="1" applyAlignment="1">
      <alignment horizontal="right" vertical="center"/>
    </xf>
    <xf numFmtId="0" fontId="17" fillId="24" borderId="17" xfId="0" applyFont="1" applyFill="1" applyBorder="1" applyAlignment="1">
      <alignment horizontal="left"/>
    </xf>
    <xf numFmtId="0" fontId="6" fillId="24" borderId="18" xfId="0" applyFont="1" applyFill="1" applyBorder="1" applyAlignment="1">
      <alignment horizontal="justify" vertical="center"/>
    </xf>
    <xf numFmtId="0" fontId="6" fillId="24" borderId="17" xfId="0" applyFont="1" applyFill="1" applyBorder="1" applyAlignment="1">
      <alignment horizontal="left" vertical="center"/>
    </xf>
    <xf numFmtId="14" fontId="6" fillId="24" borderId="0" xfId="0" applyNumberFormat="1" applyFont="1" applyFill="1" applyBorder="1" applyAlignment="1">
      <alignment horizontal="justify" vertical="center"/>
    </xf>
    <xf numFmtId="0" fontId="6" fillId="24" borderId="19" xfId="0" applyFont="1" applyFill="1" applyBorder="1" applyAlignment="1">
      <alignment horizontal="left" vertical="center"/>
    </xf>
    <xf numFmtId="0" fontId="6" fillId="24" borderId="10" xfId="0" applyFont="1" applyFill="1" applyBorder="1" applyAlignment="1">
      <alignment horizontal="justify" vertical="center"/>
    </xf>
    <xf numFmtId="0" fontId="6" fillId="24" borderId="20" xfId="0" applyFont="1" applyFill="1" applyBorder="1" applyAlignment="1">
      <alignment horizontal="justify" vertical="center"/>
    </xf>
    <xf numFmtId="0" fontId="6" fillId="24" borderId="21" xfId="0" applyFont="1" applyFill="1" applyBorder="1" applyAlignment="1">
      <alignment horizontal="left"/>
    </xf>
    <xf numFmtId="0" fontId="6" fillId="24" borderId="12" xfId="0" applyFont="1" applyFill="1" applyBorder="1" applyAlignment="1">
      <alignment horizontal="justify" vertical="top"/>
    </xf>
    <xf numFmtId="0" fontId="6" fillId="24" borderId="22" xfId="0" applyFont="1" applyFill="1" applyBorder="1" applyAlignment="1">
      <alignment horizontal="justify" vertical="top"/>
    </xf>
    <xf numFmtId="0" fontId="6" fillId="24" borderId="23" xfId="0" applyFont="1" applyFill="1" applyBorder="1" applyAlignment="1">
      <alignment horizontal="center" wrapText="1"/>
    </xf>
    <xf numFmtId="43" fontId="6" fillId="24" borderId="15" xfId="42" applyFont="1" applyFill="1" applyBorder="1" applyAlignment="1">
      <alignment horizontal="center" vertical="center"/>
    </xf>
    <xf numFmtId="0" fontId="6" fillId="24" borderId="16" xfId="0" applyFont="1" applyFill="1" applyBorder="1" applyAlignment="1">
      <alignment horizontal="justify" vertical="top"/>
    </xf>
    <xf numFmtId="0" fontId="6" fillId="24" borderId="19" xfId="0" applyFont="1" applyFill="1" applyBorder="1" applyAlignment="1">
      <alignment horizontal="justify" vertical="top"/>
    </xf>
    <xf numFmtId="0" fontId="6" fillId="24" borderId="10" xfId="0" applyFont="1" applyFill="1" applyBorder="1" applyAlignment="1">
      <alignment horizontal="justify" vertical="top"/>
    </xf>
    <xf numFmtId="165" fontId="6" fillId="24" borderId="24" xfId="42" applyNumberFormat="1" applyFont="1" applyFill="1" applyBorder="1" applyAlignment="1">
      <alignment horizontal="right" vertical="center"/>
    </xf>
    <xf numFmtId="0" fontId="6" fillId="24" borderId="15" xfId="0" applyFont="1" applyFill="1" applyBorder="1" applyAlignment="1">
      <alignment horizontal="center" vertical="center" wrapText="1"/>
    </xf>
    <xf numFmtId="166" fontId="6" fillId="24" borderId="15" xfId="57" applyNumberFormat="1" applyFont="1" applyFill="1" applyBorder="1" applyAlignment="1">
      <alignment horizontal="center" vertical="center"/>
    </xf>
    <xf numFmtId="166" fontId="6" fillId="24" borderId="24" xfId="57" applyNumberFormat="1" applyFont="1" applyFill="1" applyBorder="1" applyAlignment="1">
      <alignment horizontal="center" vertical="center"/>
    </xf>
    <xf numFmtId="0" fontId="6" fillId="24" borderId="17" xfId="0" applyFont="1" applyFill="1" applyBorder="1" applyAlignment="1">
      <alignment horizontal="center" vertical="center" wrapText="1"/>
    </xf>
    <xf numFmtId="0" fontId="6" fillId="24" borderId="0" xfId="0" applyFont="1" applyFill="1" applyBorder="1" applyAlignment="1">
      <alignment horizontal="center" vertical="center" wrapText="1"/>
    </xf>
    <xf numFmtId="0" fontId="6" fillId="24" borderId="17" xfId="0" applyFont="1" applyFill="1" applyBorder="1" applyAlignment="1">
      <alignment horizontal="justify" vertical="center"/>
    </xf>
    <xf numFmtId="0" fontId="6" fillId="24" borderId="20" xfId="0" applyFont="1" applyFill="1" applyBorder="1" applyAlignment="1">
      <alignment horizontal="justify" vertical="top"/>
    </xf>
    <xf numFmtId="0" fontId="6" fillId="24" borderId="0" xfId="0" applyFont="1" applyFill="1" applyBorder="1" applyAlignment="1">
      <alignment horizontal="left" vertical="center"/>
    </xf>
    <xf numFmtId="0" fontId="6" fillId="24" borderId="12" xfId="0" applyFont="1" applyFill="1" applyBorder="1" applyAlignment="1">
      <alignment horizontal="justify" vertical="center"/>
    </xf>
    <xf numFmtId="0" fontId="6" fillId="24" borderId="22" xfId="0" applyFont="1" applyFill="1" applyBorder="1" applyAlignment="1">
      <alignment horizontal="justify" vertical="center"/>
    </xf>
    <xf numFmtId="0" fontId="6" fillId="24" borderId="23" xfId="0" applyFont="1" applyFill="1" applyBorder="1" applyAlignment="1">
      <alignment horizontal="center" vertical="center" wrapText="1"/>
    </xf>
    <xf numFmtId="0" fontId="17" fillId="24" borderId="0" xfId="0" applyFont="1" applyFill="1" applyBorder="1" applyAlignment="1">
      <alignment horizontal="left"/>
    </xf>
    <xf numFmtId="0" fontId="6" fillId="24" borderId="0" xfId="0" applyFont="1" applyFill="1" applyBorder="1" applyAlignment="1">
      <alignment horizontal="center" vertical="top"/>
    </xf>
    <xf numFmtId="0" fontId="6" fillId="24" borderId="0" xfId="0" applyFont="1" applyFill="1" applyBorder="1" applyAlignment="1">
      <alignment horizontal="left" vertical="top" indent="1"/>
    </xf>
    <xf numFmtId="43" fontId="6" fillId="24" borderId="0" xfId="42" applyFont="1" applyFill="1" applyBorder="1" applyAlignment="1">
      <alignment horizontal="center" vertical="center"/>
    </xf>
    <xf numFmtId="165" fontId="6" fillId="24" borderId="0" xfId="42" applyNumberFormat="1" applyFont="1" applyFill="1" applyBorder="1" applyAlignment="1">
      <alignment horizontal="center" vertical="center"/>
    </xf>
    <xf numFmtId="0" fontId="6" fillId="24" borderId="0" xfId="0" applyFont="1" applyFill="1" applyBorder="1" applyAlignment="1">
      <alignment vertical="center" wrapText="1"/>
    </xf>
    <xf numFmtId="0" fontId="6" fillId="24" borderId="0" xfId="0" applyFont="1" applyFill="1" applyBorder="1" applyAlignment="1">
      <alignment wrapText="1"/>
    </xf>
    <xf numFmtId="165" fontId="6" fillId="24" borderId="13" xfId="42" applyNumberFormat="1" applyFont="1" applyFill="1" applyBorder="1" applyAlignment="1">
      <alignment horizontal="justify"/>
    </xf>
    <xf numFmtId="165" fontId="3" fillId="21" borderId="0" xfId="0" applyNumberFormat="1" applyFont="1" applyFill="1" applyAlignment="1">
      <alignment/>
    </xf>
    <xf numFmtId="164" fontId="20" fillId="24" borderId="0" xfId="0" applyNumberFormat="1" applyFont="1" applyFill="1" applyAlignment="1" applyProtection="1" quotePrefix="1">
      <alignment horizontal="right" vertical="center"/>
      <protection hidden="1"/>
    </xf>
    <xf numFmtId="165" fontId="6" fillId="24" borderId="13" xfId="42" applyNumberFormat="1" applyFont="1" applyFill="1" applyBorder="1" applyAlignment="1">
      <alignment vertical="top" wrapText="1"/>
    </xf>
    <xf numFmtId="165" fontId="6" fillId="24" borderId="13" xfId="0" applyNumberFormat="1" applyFont="1" applyFill="1" applyBorder="1" applyAlignment="1">
      <alignment vertical="top" wrapText="1"/>
    </xf>
    <xf numFmtId="165" fontId="6" fillId="24" borderId="0" xfId="42" applyNumberFormat="1" applyFont="1" applyFill="1" applyAlignment="1">
      <alignment vertical="center"/>
    </xf>
    <xf numFmtId="165" fontId="6" fillId="24" borderId="10" xfId="42" applyNumberFormat="1" applyFont="1" applyFill="1" applyBorder="1" applyAlignment="1">
      <alignment horizontal="center" vertical="center"/>
    </xf>
    <xf numFmtId="0" fontId="6" fillId="24" borderId="0" xfId="0" applyFont="1" applyFill="1" applyAlignment="1">
      <alignment horizontal="justify" vertical="top" wrapText="1"/>
    </xf>
    <xf numFmtId="43" fontId="6" fillId="24" borderId="0" xfId="42" applyFont="1" applyFill="1" applyAlignment="1">
      <alignment horizontal="justify" vertical="center"/>
    </xf>
    <xf numFmtId="165" fontId="7" fillId="24" borderId="11" xfId="0" applyNumberFormat="1" applyFont="1" applyFill="1" applyBorder="1" applyAlignment="1">
      <alignment horizontal="justify" vertical="center"/>
    </xf>
    <xf numFmtId="0" fontId="6" fillId="24" borderId="0" xfId="0" applyFont="1" applyFill="1" applyAlignment="1">
      <alignment horizontal="right" vertical="center"/>
    </xf>
    <xf numFmtId="10" fontId="6" fillId="24" borderId="0" xfId="57" applyNumberFormat="1" applyFont="1" applyFill="1" applyBorder="1" applyAlignment="1">
      <alignment horizontal="right" vertical="center"/>
    </xf>
    <xf numFmtId="0" fontId="21" fillId="21" borderId="0" xfId="0" applyFont="1" applyFill="1" applyAlignment="1">
      <alignment horizontal="justify" vertical="center"/>
    </xf>
    <xf numFmtId="165" fontId="22" fillId="21" borderId="0" xfId="0" applyNumberFormat="1" applyFont="1" applyFill="1" applyAlignment="1">
      <alignment horizontal="justify" vertical="center"/>
    </xf>
    <xf numFmtId="0" fontId="7" fillId="24" borderId="0" xfId="0" applyFont="1" applyFill="1" applyAlignment="1">
      <alignment horizontal="left" vertical="center"/>
    </xf>
    <xf numFmtId="0" fontId="7" fillId="24" borderId="0" xfId="0" applyFont="1" applyFill="1" applyAlignment="1">
      <alignment horizontal="justify" vertical="center"/>
    </xf>
    <xf numFmtId="0" fontId="21" fillId="21" borderId="0" xfId="0" applyFont="1" applyFill="1" applyAlignment="1">
      <alignment horizontal="justify" vertical="top"/>
    </xf>
    <xf numFmtId="167" fontId="6" fillId="24" borderId="0" xfId="57" applyNumberFormat="1" applyFont="1" applyFill="1" applyBorder="1" applyAlignment="1">
      <alignment horizontal="right" vertical="center"/>
    </xf>
    <xf numFmtId="167" fontId="7" fillId="24" borderId="11" xfId="57" applyNumberFormat="1" applyFont="1" applyFill="1" applyBorder="1" applyAlignment="1">
      <alignment horizontal="right" vertical="center"/>
    </xf>
    <xf numFmtId="165" fontId="7" fillId="24" borderId="13" xfId="42" applyNumberFormat="1" applyFont="1" applyFill="1" applyBorder="1" applyAlignment="1">
      <alignment horizontal="center" vertical="center"/>
    </xf>
    <xf numFmtId="43" fontId="7" fillId="24" borderId="13" xfId="42" applyFont="1" applyFill="1" applyBorder="1" applyAlignment="1">
      <alignment horizontal="right" vertical="center"/>
    </xf>
    <xf numFmtId="0" fontId="6" fillId="24" borderId="0" xfId="0" applyFont="1" applyFill="1" applyAlignment="1">
      <alignment horizontal="left"/>
    </xf>
    <xf numFmtId="0" fontId="6" fillId="24" borderId="0" xfId="0" applyFont="1" applyFill="1" applyAlignment="1">
      <alignment horizontal="justify"/>
    </xf>
    <xf numFmtId="165" fontId="7" fillId="24" borderId="0" xfId="42" applyNumberFormat="1" applyFont="1" applyFill="1" applyBorder="1" applyAlignment="1">
      <alignment horizontal="justify"/>
    </xf>
    <xf numFmtId="165" fontId="6" fillId="24" borderId="0" xfId="42" applyNumberFormat="1" applyFont="1" applyFill="1" applyAlignment="1">
      <alignment horizontal="justify"/>
    </xf>
    <xf numFmtId="167" fontId="6" fillId="24" borderId="0" xfId="57" applyNumberFormat="1" applyFont="1" applyFill="1" applyBorder="1" applyAlignment="1">
      <alignment horizontal="right"/>
    </xf>
    <xf numFmtId="0" fontId="17" fillId="24" borderId="0" xfId="0" applyFont="1" applyFill="1" applyAlignment="1">
      <alignment horizontal="left"/>
    </xf>
    <xf numFmtId="165" fontId="6" fillId="24" borderId="14" xfId="42" applyNumberFormat="1" applyFont="1" applyFill="1" applyBorder="1" applyAlignment="1">
      <alignment horizontal="center" vertical="center"/>
    </xf>
    <xf numFmtId="43" fontId="0" fillId="21" borderId="0" xfId="42" applyFont="1" applyFill="1" applyAlignment="1">
      <alignment/>
    </xf>
    <xf numFmtId="43" fontId="22" fillId="21" borderId="0" xfId="42" applyFont="1" applyFill="1" applyAlignment="1">
      <alignment/>
    </xf>
    <xf numFmtId="0" fontId="6" fillId="24" borderId="0" xfId="0" applyFont="1" applyFill="1" applyAlignment="1">
      <alignment vertical="top"/>
    </xf>
    <xf numFmtId="10" fontId="6" fillId="24" borderId="15" xfId="57" applyNumberFormat="1" applyFont="1" applyFill="1" applyBorder="1" applyAlignment="1">
      <alignment horizontal="center" vertical="center"/>
    </xf>
    <xf numFmtId="10" fontId="6" fillId="24" borderId="0" xfId="57" applyNumberFormat="1" applyFont="1" applyFill="1" applyAlignment="1">
      <alignment horizontal="center" vertical="center"/>
    </xf>
    <xf numFmtId="0" fontId="6" fillId="24" borderId="23" xfId="0" applyFont="1" applyFill="1" applyBorder="1" applyAlignment="1">
      <alignment horizontal="center" vertical="center"/>
    </xf>
    <xf numFmtId="0" fontId="6" fillId="24" borderId="12" xfId="0" applyFont="1" applyFill="1" applyBorder="1" applyAlignment="1">
      <alignment vertical="center" wrapText="1"/>
    </xf>
    <xf numFmtId="0" fontId="7" fillId="24" borderId="0" xfId="0" applyFont="1" applyFill="1" applyBorder="1" applyAlignment="1">
      <alignment horizontal="center"/>
    </xf>
    <xf numFmtId="43" fontId="16" fillId="24" borderId="0" xfId="42" applyFont="1" applyFill="1" applyAlignment="1">
      <alignment horizontal="center" vertical="center" wrapText="1"/>
    </xf>
    <xf numFmtId="0" fontId="16" fillId="24" borderId="0" xfId="0" applyFont="1" applyFill="1" applyAlignment="1">
      <alignment horizontal="center" vertical="center" wrapText="1"/>
    </xf>
    <xf numFmtId="0" fontId="18" fillId="24" borderId="0" xfId="0" applyFont="1" applyFill="1" applyAlignment="1">
      <alignment horizontal="justify" vertical="top" wrapText="1"/>
    </xf>
    <xf numFmtId="0" fontId="4" fillId="24" borderId="0" xfId="0" applyFont="1" applyFill="1" applyAlignment="1">
      <alignment horizontal="center" vertical="center"/>
    </xf>
    <xf numFmtId="0" fontId="5" fillId="24" borderId="0" xfId="0" applyFont="1" applyFill="1" applyAlignment="1">
      <alignment horizontal="center" vertical="center" wrapText="1"/>
    </xf>
    <xf numFmtId="0" fontId="6" fillId="24" borderId="0" xfId="0" applyFont="1" applyFill="1" applyBorder="1" applyAlignment="1">
      <alignment horizontal="left" wrapText="1"/>
    </xf>
    <xf numFmtId="0" fontId="6" fillId="24" borderId="0" xfId="0" applyFont="1" applyFill="1" applyBorder="1" applyAlignment="1">
      <alignment vertical="top" wrapText="1"/>
    </xf>
    <xf numFmtId="0" fontId="6" fillId="24" borderId="0" xfId="0" applyFont="1" applyFill="1" applyBorder="1" applyAlignment="1">
      <alignment horizontal="justify" vertical="top" wrapText="1"/>
    </xf>
    <xf numFmtId="0" fontId="6" fillId="24" borderId="0" xfId="0" applyFont="1" applyFill="1" applyAlignment="1">
      <alignment horizontal="justify" vertical="top" wrapText="1"/>
    </xf>
    <xf numFmtId="0" fontId="7" fillId="24" borderId="0" xfId="0" applyFont="1" applyFill="1" applyAlignment="1">
      <alignment horizontal="justify" vertical="top" wrapText="1"/>
    </xf>
    <xf numFmtId="0" fontId="6" fillId="24" borderId="0" xfId="0" applyFont="1" applyFill="1" applyAlignment="1">
      <alignment vertical="top" wrapText="1"/>
    </xf>
    <xf numFmtId="0" fontId="6" fillId="24" borderId="0" xfId="0" applyFont="1" applyFill="1" applyAlignment="1">
      <alignment horizontal="left" vertical="top" wrapText="1" indent="2"/>
    </xf>
    <xf numFmtId="0" fontId="6" fillId="24" borderId="0" xfId="0" applyFont="1" applyFill="1" applyAlignment="1">
      <alignment horizontal="center" vertical="top"/>
    </xf>
    <xf numFmtId="0" fontId="6" fillId="24" borderId="0" xfId="0" applyFont="1" applyFill="1" applyAlignment="1">
      <alignment horizontal="left" vertical="center" wrapText="1" indent="2"/>
    </xf>
    <xf numFmtId="0" fontId="6" fillId="24" borderId="0" xfId="0" applyFont="1" applyFill="1" applyAlignment="1">
      <alignment horizontal="center" vertical="top" wrapText="1"/>
    </xf>
    <xf numFmtId="0" fontId="6" fillId="24" borderId="21" xfId="0" applyFont="1" applyFill="1" applyBorder="1" applyAlignment="1">
      <alignment vertical="center" wrapText="1"/>
    </xf>
    <xf numFmtId="0" fontId="6" fillId="24" borderId="22" xfId="0" applyFont="1" applyFill="1" applyBorder="1" applyAlignment="1">
      <alignment vertical="center" wrapText="1"/>
    </xf>
    <xf numFmtId="0" fontId="6" fillId="24" borderId="21" xfId="0" applyFont="1" applyFill="1" applyBorder="1" applyAlignment="1">
      <alignment horizontal="left"/>
    </xf>
    <xf numFmtId="0" fontId="6" fillId="24" borderId="12"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0</xdr:rowOff>
    </xdr:from>
    <xdr:to>
      <xdr:col>4</xdr:col>
      <xdr:colOff>133350</xdr:colOff>
      <xdr:row>0</xdr:row>
      <xdr:rowOff>790575</xdr:rowOff>
    </xdr:to>
    <xdr:pic>
      <xdr:nvPicPr>
        <xdr:cNvPr id="1" name="Picture 1"/>
        <xdr:cNvPicPr preferRelativeResize="1">
          <a:picLocks noChangeAspect="1"/>
        </xdr:cNvPicPr>
      </xdr:nvPicPr>
      <xdr:blipFill>
        <a:blip r:embed="rId1"/>
        <a:stretch>
          <a:fillRect/>
        </a:stretch>
      </xdr:blipFill>
      <xdr:spPr>
        <a:xfrm>
          <a:off x="161925" y="0"/>
          <a:ext cx="3714750"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0</xdr:rowOff>
    </xdr:from>
    <xdr:to>
      <xdr:col>2</xdr:col>
      <xdr:colOff>381000</xdr:colOff>
      <xdr:row>0</xdr:row>
      <xdr:rowOff>790575</xdr:rowOff>
    </xdr:to>
    <xdr:pic>
      <xdr:nvPicPr>
        <xdr:cNvPr id="1" name="Picture 2"/>
        <xdr:cNvPicPr preferRelativeResize="1">
          <a:picLocks noChangeAspect="1"/>
        </xdr:cNvPicPr>
      </xdr:nvPicPr>
      <xdr:blipFill>
        <a:blip r:embed="rId1"/>
        <a:stretch>
          <a:fillRect/>
        </a:stretch>
      </xdr:blipFill>
      <xdr:spPr>
        <a:xfrm>
          <a:off x="161925" y="0"/>
          <a:ext cx="3714750"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0</xdr:rowOff>
    </xdr:from>
    <xdr:to>
      <xdr:col>3</xdr:col>
      <xdr:colOff>809625</xdr:colOff>
      <xdr:row>0</xdr:row>
      <xdr:rowOff>790575</xdr:rowOff>
    </xdr:to>
    <xdr:pic>
      <xdr:nvPicPr>
        <xdr:cNvPr id="1" name="Picture 2"/>
        <xdr:cNvPicPr preferRelativeResize="1">
          <a:picLocks noChangeAspect="1"/>
        </xdr:cNvPicPr>
      </xdr:nvPicPr>
      <xdr:blipFill>
        <a:blip r:embed="rId1"/>
        <a:stretch>
          <a:fillRect/>
        </a:stretch>
      </xdr:blipFill>
      <xdr:spPr>
        <a:xfrm>
          <a:off x="161925" y="0"/>
          <a:ext cx="3714750"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62</xdr:row>
      <xdr:rowOff>0</xdr:rowOff>
    </xdr:from>
    <xdr:to>
      <xdr:col>0</xdr:col>
      <xdr:colOff>161925</xdr:colOff>
      <xdr:row>62</xdr:row>
      <xdr:rowOff>0</xdr:rowOff>
    </xdr:to>
    <xdr:pic>
      <xdr:nvPicPr>
        <xdr:cNvPr id="1" name="Picture 2" descr="HalexLogo"/>
        <xdr:cNvPicPr preferRelativeResize="1">
          <a:picLocks noChangeAspect="1"/>
        </xdr:cNvPicPr>
      </xdr:nvPicPr>
      <xdr:blipFill>
        <a:blip r:embed="rId1"/>
        <a:stretch>
          <a:fillRect/>
        </a:stretch>
      </xdr:blipFill>
      <xdr:spPr>
        <a:xfrm>
          <a:off x="0" y="4953000"/>
          <a:ext cx="161925" cy="0"/>
        </a:xfrm>
        <a:prstGeom prst="rect">
          <a:avLst/>
        </a:prstGeom>
        <a:noFill/>
        <a:ln w="9525" cmpd="sng">
          <a:noFill/>
        </a:ln>
      </xdr:spPr>
    </xdr:pic>
    <xdr:clientData/>
  </xdr:twoCellAnchor>
  <xdr:twoCellAnchor editAs="absolute">
    <xdr:from>
      <xdr:col>1</xdr:col>
      <xdr:colOff>0</xdr:colOff>
      <xdr:row>0</xdr:row>
      <xdr:rowOff>0</xdr:rowOff>
    </xdr:from>
    <xdr:to>
      <xdr:col>1</xdr:col>
      <xdr:colOff>3714750</xdr:colOff>
      <xdr:row>0</xdr:row>
      <xdr:rowOff>790575</xdr:rowOff>
    </xdr:to>
    <xdr:pic>
      <xdr:nvPicPr>
        <xdr:cNvPr id="2" name="Picture 4"/>
        <xdr:cNvPicPr preferRelativeResize="1">
          <a:picLocks noChangeAspect="1"/>
        </xdr:cNvPicPr>
      </xdr:nvPicPr>
      <xdr:blipFill>
        <a:blip r:embed="rId2"/>
        <a:stretch>
          <a:fillRect/>
        </a:stretch>
      </xdr:blipFill>
      <xdr:spPr>
        <a:xfrm>
          <a:off x="161925" y="0"/>
          <a:ext cx="3714750" cy="790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161925</xdr:colOff>
      <xdr:row>0</xdr:row>
      <xdr:rowOff>0</xdr:rowOff>
    </xdr:from>
    <xdr:to>
      <xdr:col>6</xdr:col>
      <xdr:colOff>47625</xdr:colOff>
      <xdr:row>0</xdr:row>
      <xdr:rowOff>790575</xdr:rowOff>
    </xdr:to>
    <xdr:pic>
      <xdr:nvPicPr>
        <xdr:cNvPr id="1" name="Picture 2"/>
        <xdr:cNvPicPr preferRelativeResize="1">
          <a:picLocks noChangeAspect="1"/>
        </xdr:cNvPicPr>
      </xdr:nvPicPr>
      <xdr:blipFill>
        <a:blip r:embed="rId1"/>
        <a:stretch>
          <a:fillRect/>
        </a:stretch>
      </xdr:blipFill>
      <xdr:spPr>
        <a:xfrm>
          <a:off x="161925" y="0"/>
          <a:ext cx="3714750" cy="790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161925</xdr:colOff>
      <xdr:row>0</xdr:row>
      <xdr:rowOff>0</xdr:rowOff>
    </xdr:from>
    <xdr:to>
      <xdr:col>6</xdr:col>
      <xdr:colOff>47625</xdr:colOff>
      <xdr:row>0</xdr:row>
      <xdr:rowOff>790575</xdr:rowOff>
    </xdr:to>
    <xdr:pic>
      <xdr:nvPicPr>
        <xdr:cNvPr id="1" name="Picture 1"/>
        <xdr:cNvPicPr preferRelativeResize="1">
          <a:picLocks noChangeAspect="1"/>
        </xdr:cNvPicPr>
      </xdr:nvPicPr>
      <xdr:blipFill>
        <a:blip r:embed="rId1"/>
        <a:stretch>
          <a:fillRect/>
        </a:stretch>
      </xdr:blipFill>
      <xdr:spPr>
        <a:xfrm>
          <a:off x="161925" y="0"/>
          <a:ext cx="37147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44"/>
  <sheetViews>
    <sheetView zoomScale="110" zoomScaleNormal="110" zoomScalePageLayoutView="0" workbookViewId="0" topLeftCell="A19">
      <selection activeCell="E14" sqref="E14"/>
    </sheetView>
  </sheetViews>
  <sheetFormatPr defaultColWidth="9.33203125" defaultRowHeight="15" customHeight="1"/>
  <cols>
    <col min="1" max="1" width="2.83203125" style="3" customWidth="1"/>
    <col min="2" max="2" width="45.83203125" style="3" customWidth="1"/>
    <col min="3" max="3" width="0" style="3" hidden="1" customWidth="1"/>
    <col min="4" max="5" width="16.83203125" style="3" customWidth="1"/>
    <col min="6" max="6" width="2.33203125" style="3" customWidth="1"/>
    <col min="7" max="8" width="16.83203125" style="3" customWidth="1"/>
    <col min="9" max="9" width="9.33203125" style="117" hidden="1" customWidth="1"/>
    <col min="10" max="11" width="9.33203125" style="3" hidden="1" customWidth="1"/>
    <col min="12" max="16384" width="9.33203125" style="3" customWidth="1"/>
  </cols>
  <sheetData>
    <row r="1" spans="1:9" s="34" customFormat="1" ht="75" customHeight="1">
      <c r="A1" s="1"/>
      <c r="B1" s="1"/>
      <c r="C1" s="1"/>
      <c r="D1" s="1"/>
      <c r="E1" s="2"/>
      <c r="F1" s="2"/>
      <c r="G1" s="2"/>
      <c r="H1" s="2"/>
      <c r="I1" s="119"/>
    </row>
    <row r="2" spans="1:8" ht="15" customHeight="1">
      <c r="A2" s="28" t="s">
        <v>268</v>
      </c>
      <c r="B2" s="4"/>
      <c r="C2" s="1"/>
      <c r="D2" s="1"/>
      <c r="E2" s="1"/>
      <c r="F2" s="2"/>
      <c r="G2" s="1"/>
      <c r="H2" s="1"/>
    </row>
    <row r="3" spans="1:8" ht="15" customHeight="1">
      <c r="A3" s="5"/>
      <c r="B3" s="1"/>
      <c r="C3" s="6" t="s">
        <v>0</v>
      </c>
      <c r="D3" s="227" t="s">
        <v>267</v>
      </c>
      <c r="E3" s="227"/>
      <c r="F3" s="86"/>
      <c r="G3" s="227" t="s">
        <v>265</v>
      </c>
      <c r="H3" s="227"/>
    </row>
    <row r="4" spans="1:8" ht="11.25">
      <c r="A4" s="5"/>
      <c r="B4" s="1"/>
      <c r="C4" s="1"/>
      <c r="D4" s="228" t="s">
        <v>266</v>
      </c>
      <c r="E4" s="228"/>
      <c r="F4" s="87"/>
      <c r="G4" s="229" t="str">
        <f>LEFT(RIGHT(A2,25),15)</f>
        <v>6 months ended </v>
      </c>
      <c r="H4" s="229"/>
    </row>
    <row r="5" spans="1:10" ht="11.25">
      <c r="A5" s="5"/>
      <c r="B5" s="1"/>
      <c r="C5" s="1"/>
      <c r="D5" s="79" t="str">
        <f>RIGHT(A2,10)</f>
        <v>30/06/2011</v>
      </c>
      <c r="E5" s="79">
        <f>DATE(YEAR(D5)-1,MONTH(D5),DAY(D5))</f>
        <v>40359</v>
      </c>
      <c r="F5" s="80"/>
      <c r="G5" s="79" t="str">
        <f>D5</f>
        <v>30/06/2011</v>
      </c>
      <c r="H5" s="79">
        <f>E5</f>
        <v>40359</v>
      </c>
      <c r="J5" s="59"/>
    </row>
    <row r="6" spans="1:10" ht="11.25">
      <c r="A6" s="5"/>
      <c r="B6" s="1"/>
      <c r="C6" s="1"/>
      <c r="D6" s="79"/>
      <c r="E6" s="91" t="s">
        <v>118</v>
      </c>
      <c r="F6" s="80"/>
      <c r="G6" s="79"/>
      <c r="H6" s="91" t="s">
        <v>118</v>
      </c>
      <c r="I6" s="136" t="s">
        <v>170</v>
      </c>
      <c r="J6" s="137" t="str">
        <f>LEFT(G4,9)</f>
        <v>6 months </v>
      </c>
    </row>
    <row r="7" spans="1:10" ht="11.25">
      <c r="A7" s="5"/>
      <c r="B7" s="1"/>
      <c r="C7" s="1"/>
      <c r="D7" s="88" t="s">
        <v>1</v>
      </c>
      <c r="E7" s="88" t="s">
        <v>1</v>
      </c>
      <c r="F7" s="89"/>
      <c r="G7" s="88" t="s">
        <v>1</v>
      </c>
      <c r="H7" s="88" t="s">
        <v>1</v>
      </c>
      <c r="I7" s="118" t="s">
        <v>154</v>
      </c>
      <c r="J7" s="118" t="s">
        <v>154</v>
      </c>
    </row>
    <row r="8" spans="1:10" ht="15" customHeight="1">
      <c r="A8" s="27" t="s">
        <v>2</v>
      </c>
      <c r="B8" s="1"/>
      <c r="C8" s="7"/>
      <c r="D8" s="8">
        <v>16925</v>
      </c>
      <c r="E8" s="8">
        <v>17810</v>
      </c>
      <c r="F8" s="10"/>
      <c r="G8" s="8">
        <v>33537</v>
      </c>
      <c r="H8" s="8">
        <v>33352</v>
      </c>
      <c r="I8" s="120">
        <f>(D8-E8)/E8*100</f>
        <v>-4.969118472768108</v>
      </c>
      <c r="J8" s="120">
        <f>(G8-H8)/H8*100</f>
        <v>0.5546893739505876</v>
      </c>
    </row>
    <row r="9" spans="1:9" ht="11.25">
      <c r="A9" s="27"/>
      <c r="B9" s="1"/>
      <c r="C9" s="7"/>
      <c r="D9" s="8"/>
      <c r="E9" s="8"/>
      <c r="F9" s="10"/>
      <c r="G9" s="8"/>
      <c r="H9" s="8"/>
      <c r="I9" s="116"/>
    </row>
    <row r="10" spans="1:10" ht="15" customHeight="1">
      <c r="A10" s="27" t="s">
        <v>4</v>
      </c>
      <c r="B10" s="1"/>
      <c r="C10" s="1"/>
      <c r="D10" s="11">
        <v>-14077</v>
      </c>
      <c r="E10" s="11">
        <v>-14179</v>
      </c>
      <c r="F10" s="10"/>
      <c r="G10" s="11">
        <v>-27821</v>
      </c>
      <c r="H10" s="11">
        <v>-26756</v>
      </c>
      <c r="I10" s="120">
        <f>(D10-E10)/E10*100</f>
        <v>-0.7193737217011072</v>
      </c>
      <c r="J10" s="120">
        <f>(G10-H10)/H10*100</f>
        <v>3.980415607714158</v>
      </c>
    </row>
    <row r="11" spans="1:10" ht="15" customHeight="1">
      <c r="A11" s="28" t="s">
        <v>5</v>
      </c>
      <c r="B11" s="4"/>
      <c r="C11" s="12"/>
      <c r="D11" s="13">
        <f>SUM(D8:D10)</f>
        <v>2848</v>
      </c>
      <c r="E11" s="13">
        <f>SUM(E8:E10)</f>
        <v>3631</v>
      </c>
      <c r="F11" s="15"/>
      <c r="G11" s="13">
        <f>SUM(G8:G10)</f>
        <v>5716</v>
      </c>
      <c r="H11" s="13">
        <f>SUM(H8:H10)</f>
        <v>6596</v>
      </c>
      <c r="I11" s="120">
        <f>(D11-E11)/E11*100</f>
        <v>-21.564307353346184</v>
      </c>
      <c r="J11" s="120">
        <f>(G11-H11)/H11*100</f>
        <v>-13.341419041843542</v>
      </c>
    </row>
    <row r="12" spans="1:9" ht="11.25">
      <c r="A12" s="27"/>
      <c r="B12" s="1"/>
      <c r="C12" s="1"/>
      <c r="D12" s="16"/>
      <c r="E12" s="17"/>
      <c r="F12" s="10"/>
      <c r="G12" s="16"/>
      <c r="H12" s="17"/>
      <c r="I12" s="116"/>
    </row>
    <row r="13" spans="1:10" ht="11.25">
      <c r="A13" s="27" t="s">
        <v>6</v>
      </c>
      <c r="B13" s="1"/>
      <c r="C13" s="1"/>
      <c r="D13" s="8">
        <v>88</v>
      </c>
      <c r="E13" s="8">
        <v>22</v>
      </c>
      <c r="F13" s="10"/>
      <c r="G13" s="8">
        <v>109</v>
      </c>
      <c r="H13" s="8">
        <v>43</v>
      </c>
      <c r="I13" s="120">
        <f>(D13-E13)/E13*100</f>
        <v>300</v>
      </c>
      <c r="J13" s="120">
        <f>(G13-H13)/H13*100</f>
        <v>153.48837209302326</v>
      </c>
    </row>
    <row r="14" spans="1:9" ht="11.25">
      <c r="A14" s="27"/>
      <c r="B14" s="1"/>
      <c r="C14" s="1"/>
      <c r="D14" s="8"/>
      <c r="E14" s="8"/>
      <c r="F14" s="10"/>
      <c r="G14" s="8"/>
      <c r="H14" s="8"/>
      <c r="I14" s="116"/>
    </row>
    <row r="15" spans="1:10" ht="15" customHeight="1">
      <c r="A15" s="27" t="s">
        <v>50</v>
      </c>
      <c r="B15" s="1"/>
      <c r="C15" s="1"/>
      <c r="D15" s="8">
        <v>-437</v>
      </c>
      <c r="E15" s="8">
        <v>-347</v>
      </c>
      <c r="F15" s="10"/>
      <c r="G15" s="8">
        <v>-786</v>
      </c>
      <c r="H15" s="8">
        <v>-642</v>
      </c>
      <c r="I15" s="120">
        <f>(D15-E15)/E15*100</f>
        <v>25.936599423631122</v>
      </c>
      <c r="J15" s="120">
        <f aca="true" t="shared" si="0" ref="J15:J24">(G15-H15)/H15*100</f>
        <v>22.429906542056074</v>
      </c>
    </row>
    <row r="16" spans="1:10" ht="15" customHeight="1">
      <c r="A16" s="27" t="s">
        <v>7</v>
      </c>
      <c r="B16" s="1"/>
      <c r="C16" s="1"/>
      <c r="D16" s="8">
        <v>-956</v>
      </c>
      <c r="E16" s="8">
        <v>-596</v>
      </c>
      <c r="F16" s="10"/>
      <c r="G16" s="8">
        <v>-2268</v>
      </c>
      <c r="H16" s="8">
        <v>-1221</v>
      </c>
      <c r="I16" s="120">
        <f>(D16-E16)/E16*100</f>
        <v>60.40268456375839</v>
      </c>
      <c r="J16" s="120">
        <f t="shared" si="0"/>
        <v>85.74938574938575</v>
      </c>
    </row>
    <row r="17" spans="1:10" ht="15" customHeight="1">
      <c r="A17" s="27" t="s">
        <v>8</v>
      </c>
      <c r="B17" s="1"/>
      <c r="C17" s="1"/>
      <c r="D17" s="8">
        <v>-237</v>
      </c>
      <c r="E17" s="8">
        <v>-237</v>
      </c>
      <c r="F17" s="10"/>
      <c r="G17" s="8">
        <v>-299</v>
      </c>
      <c r="H17" s="8">
        <v>-598</v>
      </c>
      <c r="I17" s="120">
        <f>(D17-E17)/E17*100</f>
        <v>0</v>
      </c>
      <c r="J17" s="120">
        <f t="shared" si="0"/>
        <v>-50</v>
      </c>
    </row>
    <row r="18" spans="1:10" ht="15" customHeight="1">
      <c r="A18" s="27" t="s">
        <v>9</v>
      </c>
      <c r="B18" s="1"/>
      <c r="C18" s="1"/>
      <c r="D18" s="8">
        <v>-280</v>
      </c>
      <c r="E18" s="8">
        <v>-311</v>
      </c>
      <c r="F18" s="10"/>
      <c r="G18" s="8">
        <v>-618</v>
      </c>
      <c r="H18" s="8">
        <v>-668</v>
      </c>
      <c r="I18" s="120">
        <f>(D18-E18)/E18*100</f>
        <v>-9.967845659163988</v>
      </c>
      <c r="J18" s="120">
        <f t="shared" si="0"/>
        <v>-7.48502994011976</v>
      </c>
    </row>
    <row r="19" spans="1:9" ht="11.25">
      <c r="A19" s="27"/>
      <c r="B19" s="1"/>
      <c r="C19" s="1"/>
      <c r="D19" s="8"/>
      <c r="E19" s="8"/>
      <c r="F19" s="10"/>
      <c r="G19" s="8"/>
      <c r="H19" s="8"/>
      <c r="I19" s="116"/>
    </row>
    <row r="20" spans="1:10" ht="15" customHeight="1">
      <c r="A20" s="27" t="s">
        <v>48</v>
      </c>
      <c r="B20" s="1"/>
      <c r="C20" s="1"/>
      <c r="D20" s="11">
        <v>141</v>
      </c>
      <c r="E20" s="11">
        <v>88</v>
      </c>
      <c r="F20" s="10"/>
      <c r="G20" s="11">
        <v>280</v>
      </c>
      <c r="H20" s="11">
        <v>177</v>
      </c>
      <c r="I20" s="138">
        <f>(D20-E20)/E20*100</f>
        <v>60.22727272727273</v>
      </c>
      <c r="J20" s="120">
        <f t="shared" si="0"/>
        <v>58.19209039548022</v>
      </c>
    </row>
    <row r="21" spans="1:12" ht="15" customHeight="1">
      <c r="A21" s="28" t="s">
        <v>10</v>
      </c>
      <c r="B21" s="4"/>
      <c r="C21" s="12"/>
      <c r="D21" s="13">
        <f>SUM(D11:D20)</f>
        <v>1167</v>
      </c>
      <c r="E21" s="13">
        <f>SUM(E11:E20)</f>
        <v>2250</v>
      </c>
      <c r="F21" s="15"/>
      <c r="G21" s="13">
        <f>SUM(G11:G20)</f>
        <v>2134</v>
      </c>
      <c r="H21" s="13">
        <f>SUM(H11:H20)</f>
        <v>3687</v>
      </c>
      <c r="I21" s="139">
        <f>(D21-E21)/E21*100</f>
        <v>-48.13333333333333</v>
      </c>
      <c r="J21" s="139">
        <f t="shared" si="0"/>
        <v>-42.12096555465148</v>
      </c>
      <c r="L21" s="193"/>
    </row>
    <row r="22" spans="1:8" ht="11.25">
      <c r="A22" s="28"/>
      <c r="B22" s="4"/>
      <c r="C22" s="12"/>
      <c r="D22" s="13"/>
      <c r="E22" s="14"/>
      <c r="F22" s="15"/>
      <c r="G22" s="13"/>
      <c r="H22" s="14"/>
    </row>
    <row r="23" spans="1:10" ht="15" customHeight="1">
      <c r="A23" s="27" t="s">
        <v>11</v>
      </c>
      <c r="B23" s="1"/>
      <c r="C23" s="1"/>
      <c r="D23" s="8">
        <v>139</v>
      </c>
      <c r="E23" s="8">
        <v>-650</v>
      </c>
      <c r="F23" s="10"/>
      <c r="G23" s="8">
        <v>-180</v>
      </c>
      <c r="H23" s="8">
        <v>-1066</v>
      </c>
      <c r="I23" s="120">
        <f>(D23-E23)/E23*100</f>
        <v>-121.38461538461539</v>
      </c>
      <c r="J23" s="120">
        <f t="shared" si="0"/>
        <v>-83.11444652908068</v>
      </c>
    </row>
    <row r="24" spans="1:12" ht="15" customHeight="1" thickBot="1">
      <c r="A24" s="28" t="s">
        <v>12</v>
      </c>
      <c r="B24" s="4"/>
      <c r="C24" s="4"/>
      <c r="D24" s="18">
        <f>D21+D23</f>
        <v>1306</v>
      </c>
      <c r="E24" s="18">
        <f>E21+E23</f>
        <v>1600</v>
      </c>
      <c r="F24" s="15"/>
      <c r="G24" s="18">
        <f>G21+G23</f>
        <v>1954</v>
      </c>
      <c r="H24" s="18">
        <f>H21+H23</f>
        <v>2621</v>
      </c>
      <c r="I24" s="121">
        <f>(D24-E24)/E24*100</f>
        <v>-18.375</v>
      </c>
      <c r="J24" s="121">
        <f t="shared" si="0"/>
        <v>-25.448302174742466</v>
      </c>
      <c r="L24" s="193"/>
    </row>
    <row r="25" spans="1:11" ht="12" thickTop="1">
      <c r="A25" s="27"/>
      <c r="B25" s="1"/>
      <c r="C25" s="1"/>
      <c r="D25" s="10"/>
      <c r="E25" s="19"/>
      <c r="F25" s="10"/>
      <c r="G25" s="10"/>
      <c r="H25" s="19"/>
      <c r="I25" s="120">
        <f>-D23/D21*100</f>
        <v>-11.91088260497001</v>
      </c>
      <c r="J25" s="120">
        <f>-G23/G21*100</f>
        <v>8.434864104967197</v>
      </c>
      <c r="K25" s="140" t="s">
        <v>171</v>
      </c>
    </row>
    <row r="26" spans="1:8" ht="15" customHeight="1">
      <c r="A26" s="74" t="s">
        <v>106</v>
      </c>
      <c r="B26" s="1"/>
      <c r="C26" s="1"/>
      <c r="D26" s="8"/>
      <c r="E26" s="9"/>
      <c r="F26" s="10"/>
      <c r="G26" s="8"/>
      <c r="H26" s="9"/>
    </row>
    <row r="27" spans="1:8" ht="15" customHeight="1">
      <c r="A27" s="30" t="s">
        <v>105</v>
      </c>
      <c r="B27" s="1"/>
      <c r="C27" s="1"/>
      <c r="D27" s="8">
        <f>D29-D28</f>
        <v>1306</v>
      </c>
      <c r="E27" s="8">
        <f>E29-E28</f>
        <v>1660</v>
      </c>
      <c r="F27" s="10"/>
      <c r="G27" s="8">
        <f>G29-G28</f>
        <v>1954</v>
      </c>
      <c r="H27" s="8">
        <f>H29-H28</f>
        <v>2748</v>
      </c>
    </row>
    <row r="28" spans="1:8" ht="15" customHeight="1">
      <c r="A28" s="30" t="s">
        <v>104</v>
      </c>
      <c r="B28" s="1"/>
      <c r="C28" s="1"/>
      <c r="D28" s="8">
        <v>0</v>
      </c>
      <c r="E28" s="8">
        <v>-60</v>
      </c>
      <c r="F28" s="10"/>
      <c r="G28" s="8">
        <v>0</v>
      </c>
      <c r="H28" s="8">
        <v>-127</v>
      </c>
    </row>
    <row r="29" spans="1:8" ht="15" customHeight="1" thickBot="1">
      <c r="A29" s="27"/>
      <c r="B29" s="1"/>
      <c r="C29" s="1"/>
      <c r="D29" s="18">
        <f>D24</f>
        <v>1306</v>
      </c>
      <c r="E29" s="18">
        <f>E24</f>
        <v>1600</v>
      </c>
      <c r="F29" s="10"/>
      <c r="G29" s="18">
        <f>G24</f>
        <v>1954</v>
      </c>
      <c r="H29" s="18">
        <f>H24</f>
        <v>2621</v>
      </c>
    </row>
    <row r="30" spans="1:8" ht="12" thickTop="1">
      <c r="A30" s="27"/>
      <c r="B30" s="1"/>
      <c r="C30" s="1"/>
      <c r="D30" s="10"/>
      <c r="E30" s="19"/>
      <c r="F30" s="10"/>
      <c r="G30" s="10"/>
      <c r="H30" s="19"/>
    </row>
    <row r="31" spans="1:8" ht="15" customHeight="1">
      <c r="A31" s="74" t="s">
        <v>107</v>
      </c>
      <c r="B31" s="1"/>
      <c r="C31" s="1"/>
      <c r="D31" s="8"/>
      <c r="E31" s="9"/>
      <c r="F31" s="10"/>
      <c r="G31" s="8"/>
      <c r="H31" s="9"/>
    </row>
    <row r="32" spans="1:8" ht="15" customHeight="1">
      <c r="A32" s="30" t="s">
        <v>105</v>
      </c>
      <c r="B32" s="1"/>
      <c r="C32" s="1"/>
      <c r="D32" s="8">
        <f>D34-D33</f>
        <v>1306</v>
      </c>
      <c r="E32" s="8">
        <f>E34-E33</f>
        <v>1660</v>
      </c>
      <c r="F32" s="10"/>
      <c r="G32" s="8">
        <f>G34-G33</f>
        <v>1954</v>
      </c>
      <c r="H32" s="8">
        <f>H34-H33</f>
        <v>2748</v>
      </c>
    </row>
    <row r="33" spans="1:8" ht="15" customHeight="1">
      <c r="A33" s="30" t="s">
        <v>104</v>
      </c>
      <c r="B33" s="1"/>
      <c r="C33" s="1"/>
      <c r="D33" s="8">
        <f>D28</f>
        <v>0</v>
      </c>
      <c r="E33" s="8">
        <f>E28</f>
        <v>-60</v>
      </c>
      <c r="F33" s="10"/>
      <c r="G33" s="8">
        <v>0</v>
      </c>
      <c r="H33" s="8">
        <f>H28</f>
        <v>-127</v>
      </c>
    </row>
    <row r="34" spans="1:8" ht="15" customHeight="1" thickBot="1">
      <c r="A34" s="27"/>
      <c r="B34" s="1"/>
      <c r="C34" s="1"/>
      <c r="D34" s="18">
        <f>D29</f>
        <v>1306</v>
      </c>
      <c r="E34" s="18">
        <f>E29</f>
        <v>1600</v>
      </c>
      <c r="F34" s="10"/>
      <c r="G34" s="18">
        <f>G29</f>
        <v>1954</v>
      </c>
      <c r="H34" s="18">
        <f>H29</f>
        <v>2621</v>
      </c>
    </row>
    <row r="35" spans="1:8" ht="12" thickTop="1">
      <c r="A35" s="27"/>
      <c r="B35" s="1"/>
      <c r="C35" s="1"/>
      <c r="D35" s="1"/>
      <c r="E35" s="20"/>
      <c r="F35" s="2"/>
      <c r="G35" s="1"/>
      <c r="H35" s="20"/>
    </row>
    <row r="36" spans="1:8" ht="15" customHeight="1">
      <c r="A36" s="28" t="s">
        <v>58</v>
      </c>
      <c r="B36" s="1"/>
      <c r="C36" s="1"/>
      <c r="D36" s="1"/>
      <c r="E36" s="20"/>
      <c r="F36" s="2"/>
      <c r="G36" s="1"/>
      <c r="H36" s="20"/>
    </row>
    <row r="37" spans="1:8" ht="11.25">
      <c r="A37" s="33" t="s">
        <v>72</v>
      </c>
      <c r="B37" s="1"/>
      <c r="C37" s="1"/>
      <c r="D37" s="8">
        <f>'Notes B'!H112</f>
        <v>85938</v>
      </c>
      <c r="E37" s="8">
        <f>'Notes B'!J112</f>
        <v>75000</v>
      </c>
      <c r="F37" s="2"/>
      <c r="G37" s="8">
        <f>D37</f>
        <v>85938</v>
      </c>
      <c r="H37" s="8">
        <f>E37</f>
        <v>75000</v>
      </c>
    </row>
    <row r="38" spans="1:8" ht="15" customHeight="1">
      <c r="A38" s="28" t="s">
        <v>56</v>
      </c>
      <c r="B38" s="4"/>
      <c r="C38" s="1"/>
      <c r="D38" s="1"/>
      <c r="E38" s="20"/>
      <c r="F38" s="2"/>
      <c r="G38" s="1"/>
      <c r="H38" s="20"/>
    </row>
    <row r="39" spans="1:8" ht="15" customHeight="1">
      <c r="A39" s="30" t="s">
        <v>73</v>
      </c>
      <c r="B39" s="1"/>
      <c r="C39" s="21"/>
      <c r="D39" s="22">
        <f>D27/D37*100</f>
        <v>1.519700249016733</v>
      </c>
      <c r="E39" s="22">
        <f>E27/E37*100</f>
        <v>2.2133333333333334</v>
      </c>
      <c r="F39" s="22"/>
      <c r="G39" s="22">
        <f>G27/G37*100</f>
        <v>2.27373222555796</v>
      </c>
      <c r="H39" s="22">
        <f>H27/H37*100</f>
        <v>3.6639999999999997</v>
      </c>
    </row>
    <row r="40" spans="1:8" ht="15" customHeight="1">
      <c r="A40" s="30" t="s">
        <v>74</v>
      </c>
      <c r="B40" s="1"/>
      <c r="C40" s="1"/>
      <c r="D40" s="23" t="s">
        <v>3</v>
      </c>
      <c r="E40" s="24" t="s">
        <v>3</v>
      </c>
      <c r="F40" s="23"/>
      <c r="G40" s="23" t="s">
        <v>3</v>
      </c>
      <c r="H40" s="24" t="s">
        <v>3</v>
      </c>
    </row>
    <row r="41" spans="1:8" ht="11.25">
      <c r="A41" s="27"/>
      <c r="B41" s="1"/>
      <c r="C41" s="1"/>
      <c r="D41" s="1"/>
      <c r="E41" s="25"/>
      <c r="F41" s="2"/>
      <c r="G41" s="1"/>
      <c r="H41" s="25"/>
    </row>
    <row r="42" spans="1:8" ht="15" customHeight="1">
      <c r="A42" s="45" t="s">
        <v>60</v>
      </c>
      <c r="B42" s="1"/>
      <c r="C42" s="26"/>
      <c r="D42" s="1"/>
      <c r="E42" s="1"/>
      <c r="F42" s="1"/>
      <c r="G42" s="1"/>
      <c r="H42" s="1"/>
    </row>
    <row r="43" spans="1:8" ht="15" customHeight="1">
      <c r="A43" s="90" t="s">
        <v>49</v>
      </c>
      <c r="B43" s="31"/>
      <c r="C43" s="32"/>
      <c r="D43" s="31"/>
      <c r="E43" s="31"/>
      <c r="F43" s="31"/>
      <c r="G43" s="31"/>
      <c r="H43" s="31"/>
    </row>
    <row r="44" spans="1:8" ht="26.25" customHeight="1">
      <c r="A44" s="230" t="s">
        <v>259</v>
      </c>
      <c r="B44" s="230"/>
      <c r="C44" s="230"/>
      <c r="D44" s="230"/>
      <c r="E44" s="230"/>
      <c r="F44" s="230"/>
      <c r="G44" s="230"/>
      <c r="H44" s="230"/>
    </row>
  </sheetData>
  <sheetProtection password="DCC4" sheet="1" objects="1" scenarios="1"/>
  <mergeCells count="5">
    <mergeCell ref="A44:H44"/>
    <mergeCell ref="D3:E3"/>
    <mergeCell ref="G3:H3"/>
    <mergeCell ref="D4:E4"/>
    <mergeCell ref="G4:H4"/>
  </mergeCells>
  <printOptions/>
  <pageMargins left="0.3937007874015748" right="0.3937007874015748" top="0.3937007874015748" bottom="0.3937007874015748"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50"/>
  <sheetViews>
    <sheetView zoomScaleSheetLayoutView="100" zoomScalePageLayoutView="0" workbookViewId="0" topLeftCell="A4">
      <selection activeCell="D39" sqref="D39"/>
    </sheetView>
  </sheetViews>
  <sheetFormatPr defaultColWidth="9.33203125" defaultRowHeight="15" customHeight="1"/>
  <cols>
    <col min="1" max="1" width="2.83203125" style="34" customWidth="1"/>
    <col min="2" max="2" width="58.33203125" style="34" customWidth="1"/>
    <col min="3" max="3" width="13" style="34" customWidth="1"/>
    <col min="4" max="4" width="17.33203125" style="34" customWidth="1"/>
    <col min="5" max="5" width="2.33203125" style="3" customWidth="1"/>
    <col min="6" max="6" width="17.33203125" style="34" customWidth="1"/>
    <col min="7" max="8" width="7.83203125" style="34" bestFit="1" customWidth="1"/>
    <col min="9" max="16384" width="9.33203125" style="34" customWidth="1"/>
  </cols>
  <sheetData>
    <row r="1" spans="1:6" ht="75" customHeight="1">
      <c r="A1" s="1"/>
      <c r="B1" s="1"/>
      <c r="C1" s="1"/>
      <c r="D1" s="1"/>
      <c r="E1" s="2"/>
      <c r="F1" s="1"/>
    </row>
    <row r="2" spans="1:6" ht="15" customHeight="1">
      <c r="A2" s="4" t="str">
        <f>"Condensed Consolidated Statements of Financial Position as at "&amp;RIGHT(SCI!A2,10)</f>
        <v>Condensed Consolidated Statements of Financial Position as at 30/06/2011</v>
      </c>
      <c r="B2" s="4"/>
      <c r="C2" s="4"/>
      <c r="D2" s="1"/>
      <c r="E2" s="2"/>
      <c r="F2" s="1"/>
    </row>
    <row r="3" spans="1:6" ht="21">
      <c r="A3" s="1"/>
      <c r="B3" s="1"/>
      <c r="C3" s="1"/>
      <c r="D3" s="92" t="s">
        <v>263</v>
      </c>
      <c r="E3" s="86"/>
      <c r="F3" s="92" t="s">
        <v>264</v>
      </c>
    </row>
    <row r="4" spans="1:6" ht="11.25">
      <c r="A4" s="1"/>
      <c r="B4" s="1"/>
      <c r="C4" s="6"/>
      <c r="D4" s="91" t="str">
        <f>RIGHT(A2,10)</f>
        <v>30/06/2011</v>
      </c>
      <c r="E4" s="87"/>
      <c r="F4" s="194" t="str">
        <f>"31/12/"&amp;RIGHT(D4,4)-1</f>
        <v>31/12/2010</v>
      </c>
    </row>
    <row r="5" spans="1:6" ht="11.25">
      <c r="A5" s="1"/>
      <c r="B5" s="1"/>
      <c r="C5" s="6"/>
      <c r="D5" s="91"/>
      <c r="E5" s="87"/>
      <c r="F5" s="194" t="s">
        <v>118</v>
      </c>
    </row>
    <row r="6" spans="1:6" ht="11.25">
      <c r="A6" s="4" t="s">
        <v>13</v>
      </c>
      <c r="B6" s="1"/>
      <c r="C6" s="1"/>
      <c r="D6" s="88" t="s">
        <v>1</v>
      </c>
      <c r="E6" s="93"/>
      <c r="F6" s="88" t="s">
        <v>1</v>
      </c>
    </row>
    <row r="7" spans="1:6" ht="11.25">
      <c r="A7" s="65" t="s">
        <v>115</v>
      </c>
      <c r="B7" s="4"/>
      <c r="C7" s="4"/>
      <c r="D7" s="21"/>
      <c r="E7" s="76"/>
      <c r="F7" s="35"/>
    </row>
    <row r="8" spans="1:6" ht="15" customHeight="1">
      <c r="A8" s="52" t="s">
        <v>14</v>
      </c>
      <c r="B8" s="1"/>
      <c r="C8" s="1"/>
      <c r="D8" s="8">
        <v>16997</v>
      </c>
      <c r="E8" s="10"/>
      <c r="F8" s="8">
        <v>17100</v>
      </c>
    </row>
    <row r="9" spans="1:6" ht="15" customHeight="1">
      <c r="A9" s="52" t="s">
        <v>51</v>
      </c>
      <c r="B9" s="1"/>
      <c r="C9" s="1"/>
      <c r="D9" s="8">
        <v>2488</v>
      </c>
      <c r="E9" s="10"/>
      <c r="F9" s="8">
        <v>2275</v>
      </c>
    </row>
    <row r="10" spans="1:6" ht="15" customHeight="1">
      <c r="A10" s="52" t="s">
        <v>99</v>
      </c>
      <c r="B10" s="1"/>
      <c r="C10" s="1"/>
      <c r="D10" s="8">
        <v>140</v>
      </c>
      <c r="E10" s="10"/>
      <c r="F10" s="8">
        <v>140</v>
      </c>
    </row>
    <row r="11" spans="1:6" ht="15" customHeight="1">
      <c r="A11" s="52" t="s">
        <v>110</v>
      </c>
      <c r="B11" s="1"/>
      <c r="C11" s="1"/>
      <c r="D11" s="8">
        <v>651</v>
      </c>
      <c r="E11" s="15"/>
      <c r="F11" s="8">
        <v>126</v>
      </c>
    </row>
    <row r="12" spans="1:6" s="40" customFormat="1" ht="15" customHeight="1">
      <c r="A12" s="4"/>
      <c r="B12" s="4"/>
      <c r="C12" s="4"/>
      <c r="D12" s="39">
        <f>SUM(D8:D11)</f>
        <v>20276</v>
      </c>
      <c r="E12" s="10"/>
      <c r="F12" s="39">
        <f>SUM(F8:F11)</f>
        <v>19641</v>
      </c>
    </row>
    <row r="13" spans="1:6" ht="11.25">
      <c r="A13" s="72" t="s">
        <v>98</v>
      </c>
      <c r="B13" s="4"/>
      <c r="C13" s="4"/>
      <c r="D13" s="8"/>
      <c r="E13" s="10"/>
      <c r="F13" s="37"/>
    </row>
    <row r="14" spans="1:6" ht="15" customHeight="1">
      <c r="A14" s="73" t="s">
        <v>15</v>
      </c>
      <c r="B14" s="1"/>
      <c r="C14" s="1"/>
      <c r="D14" s="8">
        <v>23242</v>
      </c>
      <c r="E14" s="10"/>
      <c r="F14" s="8">
        <v>20913</v>
      </c>
    </row>
    <row r="15" spans="1:6" ht="15" customHeight="1">
      <c r="A15" s="52" t="s">
        <v>214</v>
      </c>
      <c r="B15" s="1"/>
      <c r="C15" s="1"/>
      <c r="D15" s="8">
        <f>26419+965</f>
        <v>27384</v>
      </c>
      <c r="E15" s="10"/>
      <c r="F15" s="8">
        <f>33761+2675-52</f>
        <v>36384</v>
      </c>
    </row>
    <row r="16" spans="1:6" ht="15" customHeight="1">
      <c r="A16" s="52" t="s">
        <v>52</v>
      </c>
      <c r="B16" s="1"/>
      <c r="C16" s="1"/>
      <c r="D16" s="8">
        <v>370</v>
      </c>
      <c r="E16" s="10"/>
      <c r="F16" s="8">
        <v>308</v>
      </c>
    </row>
    <row r="17" spans="1:6" ht="15" customHeight="1">
      <c r="A17" s="52" t="s">
        <v>16</v>
      </c>
      <c r="B17" s="1"/>
      <c r="C17" s="1"/>
      <c r="D17" s="8">
        <v>14244</v>
      </c>
      <c r="E17" s="10"/>
      <c r="F17" s="8">
        <v>7129</v>
      </c>
    </row>
    <row r="18" spans="1:6" s="40" customFormat="1" ht="15" customHeight="1">
      <c r="A18" s="4"/>
      <c r="B18" s="4"/>
      <c r="C18" s="4"/>
      <c r="D18" s="39">
        <f>SUM(D14:D17)</f>
        <v>65240</v>
      </c>
      <c r="E18" s="10"/>
      <c r="F18" s="39">
        <f>SUM(F14:F17)</f>
        <v>64734</v>
      </c>
    </row>
    <row r="19" spans="1:6" ht="11.25">
      <c r="A19" s="1"/>
      <c r="B19" s="1"/>
      <c r="C19" s="1"/>
      <c r="D19" s="8"/>
      <c r="E19" s="10"/>
      <c r="F19" s="8"/>
    </row>
    <row r="20" spans="1:6" ht="15" customHeight="1" thickBot="1">
      <c r="A20" s="4" t="s">
        <v>17</v>
      </c>
      <c r="B20" s="4"/>
      <c r="C20" s="4"/>
      <c r="D20" s="43">
        <f>D18+D12</f>
        <v>85516</v>
      </c>
      <c r="E20" s="15"/>
      <c r="F20" s="43">
        <f>F18+F12</f>
        <v>84375</v>
      </c>
    </row>
    <row r="21" spans="1:6" ht="12" thickTop="1">
      <c r="A21" s="1"/>
      <c r="B21" s="1"/>
      <c r="C21" s="1"/>
      <c r="D21" s="8"/>
      <c r="E21" s="15"/>
      <c r="F21" s="37"/>
    </row>
    <row r="22" spans="1:6" ht="15" customHeight="1">
      <c r="A22" s="4" t="s">
        <v>18</v>
      </c>
      <c r="B22" s="4"/>
      <c r="C22" s="4"/>
      <c r="D22" s="8"/>
      <c r="E22" s="10"/>
      <c r="F22" s="37"/>
    </row>
    <row r="23" spans="1:6" ht="11.25">
      <c r="A23" s="65" t="s">
        <v>100</v>
      </c>
      <c r="B23" s="4"/>
      <c r="C23" s="8"/>
      <c r="D23" s="8"/>
      <c r="E23" s="15"/>
      <c r="F23" s="1"/>
    </row>
    <row r="24" spans="1:6" ht="15" customHeight="1">
      <c r="A24" s="52" t="s">
        <v>215</v>
      </c>
      <c r="B24" s="1"/>
      <c r="C24" s="1"/>
      <c r="D24" s="8">
        <f>2543+1626</f>
        <v>4169</v>
      </c>
      <c r="E24" s="10"/>
      <c r="F24" s="8">
        <f>2608+1667+143</f>
        <v>4418</v>
      </c>
    </row>
    <row r="25" spans="1:6" ht="15" customHeight="1">
      <c r="A25" s="52" t="s">
        <v>24</v>
      </c>
      <c r="B25" s="1"/>
      <c r="C25" s="1"/>
      <c r="D25" s="8">
        <v>338</v>
      </c>
      <c r="E25" s="10"/>
      <c r="F25" s="8">
        <f>321+228</f>
        <v>549</v>
      </c>
    </row>
    <row r="26" spans="1:7" ht="15" customHeight="1">
      <c r="A26" s="52" t="s">
        <v>53</v>
      </c>
      <c r="B26" s="1"/>
      <c r="C26" s="1"/>
      <c r="D26" s="8">
        <v>276</v>
      </c>
      <c r="E26" s="10"/>
      <c r="F26" s="8">
        <v>163</v>
      </c>
      <c r="G26" s="56"/>
    </row>
    <row r="27" spans="1:7" ht="15" customHeight="1">
      <c r="A27" s="52" t="s">
        <v>54</v>
      </c>
      <c r="B27" s="1"/>
      <c r="C27" s="1"/>
      <c r="D27" s="8">
        <f>17289+308</f>
        <v>17597</v>
      </c>
      <c r="E27" s="10"/>
      <c r="F27" s="8">
        <f>25461+275-195</f>
        <v>25541</v>
      </c>
      <c r="G27" s="56"/>
    </row>
    <row r="28" spans="1:6" s="40" customFormat="1" ht="15" customHeight="1">
      <c r="A28" s="4"/>
      <c r="B28" s="4"/>
      <c r="C28" s="4"/>
      <c r="D28" s="39">
        <f>SUM(D24:D27)</f>
        <v>22380</v>
      </c>
      <c r="E28" s="10"/>
      <c r="F28" s="39">
        <f>SUM(F24:F27)</f>
        <v>30671</v>
      </c>
    </row>
    <row r="29" spans="1:6" ht="11.25">
      <c r="A29" s="65" t="s">
        <v>22</v>
      </c>
      <c r="B29" s="4"/>
      <c r="C29" s="4"/>
      <c r="D29" s="8"/>
      <c r="E29" s="10"/>
      <c r="F29" s="8"/>
    </row>
    <row r="30" spans="1:6" ht="15" customHeight="1">
      <c r="A30" s="52" t="s">
        <v>55</v>
      </c>
      <c r="B30" s="1"/>
      <c r="C30" s="1"/>
      <c r="D30" s="8">
        <f>790-D26</f>
        <v>514</v>
      </c>
      <c r="E30" s="10"/>
      <c r="F30" s="8">
        <f>780-F26</f>
        <v>617</v>
      </c>
    </row>
    <row r="31" spans="1:6" ht="15" customHeight="1">
      <c r="A31" s="52" t="s">
        <v>54</v>
      </c>
      <c r="B31" s="1"/>
      <c r="C31" s="1"/>
      <c r="D31" s="8">
        <f>17289+3352-D27</f>
        <v>3044</v>
      </c>
      <c r="E31" s="10"/>
      <c r="F31" s="8">
        <f>25461+3459-F27-195</f>
        <v>3184</v>
      </c>
    </row>
    <row r="32" spans="1:6" ht="15" customHeight="1">
      <c r="A32" s="52" t="s">
        <v>23</v>
      </c>
      <c r="B32" s="1"/>
      <c r="C32" s="1"/>
      <c r="D32" s="8">
        <v>105</v>
      </c>
      <c r="E32" s="10"/>
      <c r="F32" s="8">
        <v>81</v>
      </c>
    </row>
    <row r="33" spans="1:6" s="40" customFormat="1" ht="15" customHeight="1">
      <c r="A33" s="4"/>
      <c r="B33" s="4"/>
      <c r="C33" s="4"/>
      <c r="D33" s="39">
        <f>SUM(D30:D32)</f>
        <v>3663</v>
      </c>
      <c r="E33" s="2"/>
      <c r="F33" s="39">
        <f>SUM(F30:F32)</f>
        <v>3882</v>
      </c>
    </row>
    <row r="34" spans="1:6" ht="11.25">
      <c r="A34" s="1"/>
      <c r="B34" s="1"/>
      <c r="C34" s="1"/>
      <c r="D34" s="8"/>
      <c r="E34" s="2"/>
      <c r="F34" s="8"/>
    </row>
    <row r="35" spans="1:6" s="40" customFormat="1" ht="15" customHeight="1">
      <c r="A35" s="4" t="s">
        <v>101</v>
      </c>
      <c r="B35" s="4"/>
      <c r="C35" s="4"/>
      <c r="D35" s="15">
        <f>D33+D28</f>
        <v>26043</v>
      </c>
      <c r="E35" s="2"/>
      <c r="F35" s="15">
        <f>F33+F28</f>
        <v>34553</v>
      </c>
    </row>
    <row r="36" spans="1:6" ht="11.25">
      <c r="A36" s="1"/>
      <c r="B36" s="1"/>
      <c r="C36" s="1"/>
      <c r="D36" s="8"/>
      <c r="E36" s="2"/>
      <c r="F36" s="8"/>
    </row>
    <row r="37" spans="1:6" ht="11.25">
      <c r="A37" s="65" t="s">
        <v>102</v>
      </c>
      <c r="B37" s="4"/>
      <c r="C37" s="4"/>
      <c r="D37" s="8"/>
      <c r="E37" s="22"/>
      <c r="F37" s="8"/>
    </row>
    <row r="38" spans="1:6" ht="15" customHeight="1">
      <c r="A38" s="52" t="s">
        <v>19</v>
      </c>
      <c r="B38" s="1"/>
      <c r="C38" s="1"/>
      <c r="D38" s="8">
        <f>SCE!D24</f>
        <v>48000</v>
      </c>
      <c r="E38" s="23"/>
      <c r="F38" s="8">
        <v>37938</v>
      </c>
    </row>
    <row r="39" spans="1:6" ht="15" customHeight="1">
      <c r="A39" s="52" t="s">
        <v>20</v>
      </c>
      <c r="B39" s="1"/>
      <c r="C39" s="1"/>
      <c r="D39" s="8">
        <f>SCE!E24</f>
        <v>515</v>
      </c>
      <c r="E39" s="2"/>
      <c r="F39" s="8">
        <f>SCE!E14</f>
        <v>0</v>
      </c>
    </row>
    <row r="40" spans="1:8" ht="15" customHeight="1">
      <c r="A40" s="52" t="s">
        <v>21</v>
      </c>
      <c r="B40" s="1"/>
      <c r="C40" s="1"/>
      <c r="D40" s="11">
        <f>SCE!F24</f>
        <v>10958</v>
      </c>
      <c r="E40" s="1"/>
      <c r="F40" s="11">
        <v>11884</v>
      </c>
      <c r="G40" s="61">
        <f>D40-SCE!F24</f>
        <v>0</v>
      </c>
      <c r="H40" s="61"/>
    </row>
    <row r="41" spans="1:6" s="40" customFormat="1" ht="15" customHeight="1">
      <c r="A41" s="42" t="s">
        <v>57</v>
      </c>
      <c r="B41" s="4"/>
      <c r="C41" s="4"/>
      <c r="D41" s="13">
        <f>SUM(D38:D40)</f>
        <v>59473</v>
      </c>
      <c r="E41" s="1"/>
      <c r="F41" s="13">
        <f>SUM(F38:F40)</f>
        <v>49822</v>
      </c>
    </row>
    <row r="42" spans="1:6" ht="15" customHeight="1">
      <c r="A42" s="52" t="s">
        <v>97</v>
      </c>
      <c r="B42" s="1"/>
      <c r="C42" s="1"/>
      <c r="D42" s="8">
        <f>SCE!H24</f>
        <v>0</v>
      </c>
      <c r="E42" s="1"/>
      <c r="F42" s="8">
        <v>0</v>
      </c>
    </row>
    <row r="43" spans="1:6" ht="15" customHeight="1">
      <c r="A43" s="4" t="s">
        <v>103</v>
      </c>
      <c r="B43" s="4"/>
      <c r="C43" s="4"/>
      <c r="D43" s="39">
        <f>SUM(D41:D42)</f>
        <v>59473</v>
      </c>
      <c r="E43" s="1"/>
      <c r="F43" s="39">
        <f>SUM(F41:F42)</f>
        <v>49822</v>
      </c>
    </row>
    <row r="44" spans="1:6" ht="11.25">
      <c r="A44" s="1"/>
      <c r="B44" s="1"/>
      <c r="C44" s="1"/>
      <c r="D44" s="8"/>
      <c r="E44" s="1"/>
      <c r="F44" s="8"/>
    </row>
    <row r="45" spans="1:8" s="40" customFormat="1" ht="15" customHeight="1" thickBot="1">
      <c r="A45" s="4" t="s">
        <v>26</v>
      </c>
      <c r="B45" s="4"/>
      <c r="C45" s="4"/>
      <c r="D45" s="43">
        <f>D43+D35</f>
        <v>85516</v>
      </c>
      <c r="E45" s="1"/>
      <c r="F45" s="43">
        <f>F43+F35</f>
        <v>84375</v>
      </c>
      <c r="G45" s="60">
        <f>D45-D20</f>
        <v>0</v>
      </c>
      <c r="H45" s="60">
        <f>F45-F20</f>
        <v>0</v>
      </c>
    </row>
    <row r="46" spans="1:6" ht="12" thickTop="1">
      <c r="A46" s="1"/>
      <c r="B46" s="1"/>
      <c r="C46" s="8"/>
      <c r="D46" s="8"/>
      <c r="E46" s="1"/>
      <c r="F46" s="8"/>
    </row>
    <row r="47" spans="1:6" ht="11.25">
      <c r="A47" s="4" t="s">
        <v>59</v>
      </c>
      <c r="B47" s="1"/>
      <c r="C47" s="1"/>
      <c r="D47" s="26"/>
      <c r="E47" s="1"/>
      <c r="F47" s="26"/>
    </row>
    <row r="48" spans="1:6" ht="11.25">
      <c r="A48" s="4" t="s">
        <v>75</v>
      </c>
      <c r="B48" s="1"/>
      <c r="C48" s="1"/>
      <c r="D48" s="26">
        <f>D41/'Notes B'!H112</f>
        <v>0.6920454280993275</v>
      </c>
      <c r="E48" s="1"/>
      <c r="F48" s="26">
        <f>F41/75219</f>
        <v>0.6623592443398609</v>
      </c>
    </row>
    <row r="49" spans="1:6" ht="15" customHeight="1">
      <c r="A49" s="1"/>
      <c r="B49" s="1"/>
      <c r="C49" s="1"/>
      <c r="D49" s="26"/>
      <c r="E49" s="1"/>
      <c r="F49" s="38"/>
    </row>
    <row r="50" spans="1:6" ht="24" customHeight="1">
      <c r="A50" s="230" t="s">
        <v>260</v>
      </c>
      <c r="B50" s="230"/>
      <c r="C50" s="230"/>
      <c r="D50" s="230"/>
      <c r="E50" s="230"/>
      <c r="F50" s="230"/>
    </row>
  </sheetData>
  <sheetProtection password="DCC4" sheet="1" objects="1" scenarios="1"/>
  <mergeCells count="1">
    <mergeCell ref="A50:F50"/>
  </mergeCells>
  <printOptions/>
  <pageMargins left="0.3937007874015748" right="0.3937007874015748" top="0.3937007874015748" bottom="0.3937007874015748"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41"/>
  <sheetViews>
    <sheetView zoomScale="110" zoomScaleNormal="110" zoomScaleSheetLayoutView="100" zoomScalePageLayoutView="0" workbookViewId="0" topLeftCell="A1">
      <selection activeCell="A2" sqref="A2"/>
    </sheetView>
  </sheetViews>
  <sheetFormatPr defaultColWidth="9.33203125" defaultRowHeight="15" customHeight="1"/>
  <cols>
    <col min="1" max="1" width="2.83203125" style="34" customWidth="1"/>
    <col min="2" max="2" width="50.83203125" style="34" customWidth="1"/>
    <col min="3" max="3" width="0" style="34" hidden="1" customWidth="1"/>
    <col min="4" max="9" width="15.83203125" style="34" customWidth="1"/>
    <col min="10" max="10" width="12" style="34" bestFit="1" customWidth="1"/>
    <col min="11" max="16384" width="9.33203125" style="34" customWidth="1"/>
  </cols>
  <sheetData>
    <row r="1" spans="1:9" ht="75" customHeight="1">
      <c r="A1" s="1"/>
      <c r="B1" s="1"/>
      <c r="C1" s="1"/>
      <c r="D1" s="1"/>
      <c r="E1" s="1"/>
      <c r="F1" s="2"/>
      <c r="G1" s="2"/>
      <c r="H1" s="1"/>
      <c r="I1" s="1"/>
    </row>
    <row r="2" spans="1:9" ht="15" customHeight="1">
      <c r="A2" s="4" t="str">
        <f>"Condensed Statements of Changes in Equity  for the "&amp;RIGHT(SCI!A2,25)</f>
        <v>Condensed Statements of Changes in Equity  for the 6 months ended 30/06/2011</v>
      </c>
      <c r="B2" s="4"/>
      <c r="C2" s="4"/>
      <c r="D2" s="1"/>
      <c r="E2" s="1"/>
      <c r="F2" s="2"/>
      <c r="G2" s="2"/>
      <c r="H2" s="1"/>
      <c r="I2" s="1"/>
    </row>
    <row r="3" spans="1:9" ht="15" customHeight="1">
      <c r="A3" s="4"/>
      <c r="B3" s="4"/>
      <c r="C3" s="4"/>
      <c r="D3" s="231" t="s">
        <v>78</v>
      </c>
      <c r="E3" s="231"/>
      <c r="F3" s="231"/>
      <c r="G3" s="231"/>
      <c r="H3" s="4"/>
      <c r="I3" s="1"/>
    </row>
    <row r="4" spans="1:9" ht="33.75">
      <c r="A4" s="1"/>
      <c r="B4" s="1"/>
      <c r="C4" s="6" t="s">
        <v>0</v>
      </c>
      <c r="D4" s="63" t="s">
        <v>61</v>
      </c>
      <c r="E4" s="63" t="s">
        <v>63</v>
      </c>
      <c r="F4" s="63" t="s">
        <v>62</v>
      </c>
      <c r="G4" s="62" t="s">
        <v>46</v>
      </c>
      <c r="H4" s="63" t="s">
        <v>79</v>
      </c>
      <c r="I4" s="63" t="s">
        <v>77</v>
      </c>
    </row>
    <row r="5" spans="1:9" ht="11.25">
      <c r="A5" s="1"/>
      <c r="B5" s="1"/>
      <c r="C5" s="1"/>
      <c r="D5" s="62" t="s">
        <v>1</v>
      </c>
      <c r="E5" s="62" t="s">
        <v>1</v>
      </c>
      <c r="F5" s="62" t="s">
        <v>1</v>
      </c>
      <c r="G5" s="62" t="s">
        <v>1</v>
      </c>
      <c r="H5" s="62" t="s">
        <v>1</v>
      </c>
      <c r="I5" s="62" t="s">
        <v>1</v>
      </c>
    </row>
    <row r="6" spans="1:9" ht="15" customHeight="1">
      <c r="A6" s="64" t="str">
        <f>"Balance at 01/01/"&amp;RIGHT(A16,4)-1</f>
        <v>Balance at 01/01/2010</v>
      </c>
      <c r="B6" s="1"/>
      <c r="C6" s="1"/>
      <c r="D6" s="37">
        <v>15000</v>
      </c>
      <c r="E6" s="8">
        <v>0</v>
      </c>
      <c r="F6" s="8">
        <f>30654+80</f>
        <v>30734</v>
      </c>
      <c r="G6" s="13">
        <f aca="true" t="shared" si="0" ref="G6:G13">SUM(D6:F6)</f>
        <v>45734</v>
      </c>
      <c r="H6" s="8">
        <v>438</v>
      </c>
      <c r="I6" s="13">
        <f aca="true" t="shared" si="1" ref="I6:I13">SUM(G6:H6)</f>
        <v>46172</v>
      </c>
    </row>
    <row r="7" spans="1:9" ht="15" customHeight="1" hidden="1">
      <c r="A7" s="52" t="s">
        <v>81</v>
      </c>
      <c r="B7" s="1"/>
      <c r="C7" s="1"/>
      <c r="D7" s="8">
        <v>0</v>
      </c>
      <c r="E7" s="8">
        <v>0</v>
      </c>
      <c r="F7" s="8">
        <v>0</v>
      </c>
      <c r="G7" s="13">
        <f t="shared" si="0"/>
        <v>0</v>
      </c>
      <c r="H7" s="8">
        <v>0</v>
      </c>
      <c r="I7" s="13">
        <f t="shared" si="1"/>
        <v>0</v>
      </c>
    </row>
    <row r="8" spans="1:9" ht="15" customHeight="1" hidden="1">
      <c r="A8" s="52" t="s">
        <v>47</v>
      </c>
      <c r="B8" s="1"/>
      <c r="C8" s="1"/>
      <c r="D8" s="8">
        <v>0</v>
      </c>
      <c r="E8" s="8">
        <v>0</v>
      </c>
      <c r="F8" s="8">
        <v>0</v>
      </c>
      <c r="G8" s="13">
        <f t="shared" si="0"/>
        <v>0</v>
      </c>
      <c r="H8" s="8">
        <v>0</v>
      </c>
      <c r="I8" s="13">
        <f t="shared" si="1"/>
        <v>0</v>
      </c>
    </row>
    <row r="9" spans="1:9" ht="15" customHeight="1">
      <c r="A9" s="52" t="s">
        <v>64</v>
      </c>
      <c r="B9" s="1"/>
      <c r="C9" s="1"/>
      <c r="D9" s="37">
        <v>22500</v>
      </c>
      <c r="E9" s="8">
        <v>0</v>
      </c>
      <c r="F9" s="8">
        <v>-22500</v>
      </c>
      <c r="G9" s="13">
        <f>SUM(D9:F9)</f>
        <v>0</v>
      </c>
      <c r="H9" s="8">
        <v>0</v>
      </c>
      <c r="I9" s="13">
        <f>SUM(G9:H9)</f>
        <v>0</v>
      </c>
    </row>
    <row r="10" spans="1:9" ht="15" customHeight="1">
      <c r="A10" s="52" t="s">
        <v>108</v>
      </c>
      <c r="B10" s="1"/>
      <c r="C10" s="1"/>
      <c r="D10" s="8">
        <v>0</v>
      </c>
      <c r="E10" s="8">
        <v>0</v>
      </c>
      <c r="F10" s="8">
        <f>SCI!H27</f>
        <v>2748</v>
      </c>
      <c r="G10" s="13">
        <f t="shared" si="0"/>
        <v>2748</v>
      </c>
      <c r="H10" s="8">
        <f>SCI!H28</f>
        <v>-127</v>
      </c>
      <c r="I10" s="13">
        <f t="shared" si="1"/>
        <v>2621</v>
      </c>
    </row>
    <row r="11" spans="1:9" ht="15" customHeight="1" hidden="1">
      <c r="A11" s="52" t="s">
        <v>112</v>
      </c>
      <c r="B11" s="1"/>
      <c r="C11" s="1"/>
      <c r="D11" s="37">
        <v>0</v>
      </c>
      <c r="E11" s="8">
        <v>0</v>
      </c>
      <c r="F11" s="8">
        <v>0</v>
      </c>
      <c r="G11" s="13">
        <f t="shared" si="0"/>
        <v>0</v>
      </c>
      <c r="H11" s="8">
        <v>0</v>
      </c>
      <c r="I11" s="13">
        <f t="shared" si="1"/>
        <v>0</v>
      </c>
    </row>
    <row r="12" spans="1:9" ht="15" customHeight="1">
      <c r="A12" s="52" t="s">
        <v>45</v>
      </c>
      <c r="B12" s="1"/>
      <c r="C12" s="1"/>
      <c r="D12" s="8">
        <v>0</v>
      </c>
      <c r="E12" s="8">
        <v>0</v>
      </c>
      <c r="F12" s="8">
        <v>-3000</v>
      </c>
      <c r="G12" s="13">
        <f t="shared" si="0"/>
        <v>-3000</v>
      </c>
      <c r="H12" s="8">
        <v>0</v>
      </c>
      <c r="I12" s="13">
        <f t="shared" si="1"/>
        <v>-3000</v>
      </c>
    </row>
    <row r="13" spans="1:9" ht="15" customHeight="1" hidden="1">
      <c r="A13" s="52" t="s">
        <v>80</v>
      </c>
      <c r="B13" s="1"/>
      <c r="C13" s="1"/>
      <c r="D13" s="8">
        <v>0</v>
      </c>
      <c r="E13" s="8">
        <v>0</v>
      </c>
      <c r="F13" s="8">
        <v>0</v>
      </c>
      <c r="G13" s="13">
        <f t="shared" si="0"/>
        <v>0</v>
      </c>
      <c r="H13" s="8">
        <v>0</v>
      </c>
      <c r="I13" s="13">
        <f t="shared" si="1"/>
        <v>0</v>
      </c>
    </row>
    <row r="14" spans="1:10" s="40" customFormat="1" ht="15" customHeight="1" thickBot="1">
      <c r="A14" s="64" t="str">
        <f>"Balance at "&amp;LEFT(RIGHT(A24,10),6)&amp;RIGHT(A24,4)-1</f>
        <v>Balance at 30/06/2010</v>
      </c>
      <c r="B14" s="4"/>
      <c r="C14" s="4"/>
      <c r="D14" s="18">
        <f aca="true" t="shared" si="2" ref="D14:I14">SUM(D6:D13)</f>
        <v>37500</v>
      </c>
      <c r="E14" s="18">
        <f t="shared" si="2"/>
        <v>0</v>
      </c>
      <c r="F14" s="18">
        <f t="shared" si="2"/>
        <v>7982</v>
      </c>
      <c r="G14" s="18">
        <f t="shared" si="2"/>
        <v>45482</v>
      </c>
      <c r="H14" s="18">
        <f t="shared" si="2"/>
        <v>311</v>
      </c>
      <c r="I14" s="18">
        <f t="shared" si="2"/>
        <v>45793</v>
      </c>
      <c r="J14" s="60"/>
    </row>
    <row r="15" spans="1:10" s="40" customFormat="1" ht="15" customHeight="1" thickTop="1">
      <c r="A15" s="4"/>
      <c r="B15" s="4"/>
      <c r="C15" s="4"/>
      <c r="D15" s="15"/>
      <c r="E15" s="15"/>
      <c r="F15" s="15"/>
      <c r="G15" s="15"/>
      <c r="H15" s="15"/>
      <c r="I15" s="15"/>
      <c r="J15" s="60"/>
    </row>
    <row r="16" spans="1:9" ht="15" customHeight="1">
      <c r="A16" s="64" t="s">
        <v>111</v>
      </c>
      <c r="B16" s="1"/>
      <c r="C16" s="1"/>
      <c r="D16" s="37">
        <v>37938</v>
      </c>
      <c r="E16" s="8">
        <v>0</v>
      </c>
      <c r="F16" s="8">
        <f>11804+80</f>
        <v>11884</v>
      </c>
      <c r="G16" s="13">
        <f aca="true" t="shared" si="3" ref="G16:G23">SUM(D16:F16)</f>
        <v>49822</v>
      </c>
      <c r="H16" s="8">
        <v>0</v>
      </c>
      <c r="I16" s="13">
        <f aca="true" t="shared" si="4" ref="I16:I23">SUM(G16:H16)</f>
        <v>49822</v>
      </c>
    </row>
    <row r="17" spans="1:9" ht="15" customHeight="1" hidden="1">
      <c r="A17" s="52" t="s">
        <v>81</v>
      </c>
      <c r="B17" s="1"/>
      <c r="C17" s="1"/>
      <c r="D17" s="8">
        <v>0</v>
      </c>
      <c r="E17" s="8">
        <v>0</v>
      </c>
      <c r="F17" s="8">
        <v>0</v>
      </c>
      <c r="G17" s="13">
        <f t="shared" si="3"/>
        <v>0</v>
      </c>
      <c r="H17" s="8">
        <v>0</v>
      </c>
      <c r="I17" s="13">
        <f t="shared" si="4"/>
        <v>0</v>
      </c>
    </row>
    <row r="18" spans="1:9" ht="15" customHeight="1" hidden="1">
      <c r="A18" s="52" t="s">
        <v>47</v>
      </c>
      <c r="B18" s="1"/>
      <c r="C18" s="1"/>
      <c r="D18" s="8">
        <v>0</v>
      </c>
      <c r="E18" s="8">
        <v>0</v>
      </c>
      <c r="F18" s="8">
        <v>0</v>
      </c>
      <c r="G18" s="13">
        <f t="shared" si="3"/>
        <v>0</v>
      </c>
      <c r="H18" s="8">
        <v>0</v>
      </c>
      <c r="I18" s="13">
        <f t="shared" si="4"/>
        <v>0</v>
      </c>
    </row>
    <row r="19" spans="1:9" ht="15" customHeight="1">
      <c r="A19" s="52" t="s">
        <v>80</v>
      </c>
      <c r="B19" s="1"/>
      <c r="C19" s="1"/>
      <c r="D19" s="8">
        <v>10062</v>
      </c>
      <c r="E19" s="8">
        <v>1409</v>
      </c>
      <c r="F19" s="8">
        <v>0</v>
      </c>
      <c r="G19" s="13">
        <f>SUM(D19:F19)</f>
        <v>11471</v>
      </c>
      <c r="H19" s="8">
        <v>0</v>
      </c>
      <c r="I19" s="13">
        <f>SUM(G19:H19)</f>
        <v>11471</v>
      </c>
    </row>
    <row r="20" spans="1:9" ht="15" customHeight="1">
      <c r="A20" s="52" t="s">
        <v>108</v>
      </c>
      <c r="B20" s="1"/>
      <c r="C20" s="1"/>
      <c r="D20" s="8">
        <v>0</v>
      </c>
      <c r="E20" s="8">
        <v>0</v>
      </c>
      <c r="F20" s="8">
        <f>SCI!G27</f>
        <v>1954</v>
      </c>
      <c r="G20" s="13">
        <f t="shared" si="3"/>
        <v>1954</v>
      </c>
      <c r="H20" s="8">
        <f>SCI!G28</f>
        <v>0</v>
      </c>
      <c r="I20" s="13">
        <f t="shared" si="4"/>
        <v>1954</v>
      </c>
    </row>
    <row r="21" spans="1:9" ht="15" customHeight="1">
      <c r="A21" s="52" t="s">
        <v>112</v>
      </c>
      <c r="B21" s="1"/>
      <c r="C21" s="1"/>
      <c r="D21" s="37">
        <v>0</v>
      </c>
      <c r="E21" s="8">
        <v>-894</v>
      </c>
      <c r="F21" s="8">
        <v>0</v>
      </c>
      <c r="G21" s="13">
        <f t="shared" si="3"/>
        <v>-894</v>
      </c>
      <c r="H21" s="8">
        <v>0</v>
      </c>
      <c r="I21" s="13">
        <f t="shared" si="4"/>
        <v>-894</v>
      </c>
    </row>
    <row r="22" spans="1:9" ht="15" customHeight="1">
      <c r="A22" s="52" t="s">
        <v>45</v>
      </c>
      <c r="B22" s="1"/>
      <c r="C22" s="1"/>
      <c r="D22" s="8">
        <v>0</v>
      </c>
      <c r="E22" s="8">
        <v>0</v>
      </c>
      <c r="F22" s="8">
        <v>-2880</v>
      </c>
      <c r="G22" s="13">
        <f t="shared" si="3"/>
        <v>-2880</v>
      </c>
      <c r="H22" s="8">
        <v>0</v>
      </c>
      <c r="I22" s="13">
        <f t="shared" si="4"/>
        <v>-2880</v>
      </c>
    </row>
    <row r="23" spans="1:9" ht="15" customHeight="1" hidden="1">
      <c r="A23" s="52" t="s">
        <v>64</v>
      </c>
      <c r="B23" s="1"/>
      <c r="C23" s="1"/>
      <c r="D23" s="37">
        <v>0</v>
      </c>
      <c r="E23" s="8">
        <v>0</v>
      </c>
      <c r="F23" s="8">
        <v>0</v>
      </c>
      <c r="G23" s="13">
        <f t="shared" si="3"/>
        <v>0</v>
      </c>
      <c r="H23" s="8">
        <v>0</v>
      </c>
      <c r="I23" s="13">
        <f t="shared" si="4"/>
        <v>0</v>
      </c>
    </row>
    <row r="24" spans="1:10" s="40" customFormat="1" ht="15" customHeight="1" thickBot="1">
      <c r="A24" s="4" t="str">
        <f>"Balance at "&amp;RIGHT(SCI!A2,10)</f>
        <v>Balance at 30/06/2011</v>
      </c>
      <c r="B24" s="4"/>
      <c r="C24" s="4"/>
      <c r="D24" s="18">
        <f aca="true" t="shared" si="5" ref="D24:I24">SUM(D16:D23)</f>
        <v>48000</v>
      </c>
      <c r="E24" s="18">
        <f t="shared" si="5"/>
        <v>515</v>
      </c>
      <c r="F24" s="18">
        <f t="shared" si="5"/>
        <v>10958</v>
      </c>
      <c r="G24" s="18">
        <f t="shared" si="5"/>
        <v>59473</v>
      </c>
      <c r="H24" s="18">
        <f t="shared" si="5"/>
        <v>0</v>
      </c>
      <c r="I24" s="18">
        <f t="shared" si="5"/>
        <v>59473</v>
      </c>
      <c r="J24" s="60">
        <f>I24-SFP!D43</f>
        <v>0</v>
      </c>
    </row>
    <row r="25" spans="1:9" ht="15" customHeight="1" thickTop="1">
      <c r="A25" s="1"/>
      <c r="B25" s="1"/>
      <c r="C25" s="1"/>
      <c r="D25" s="10"/>
      <c r="E25" s="10"/>
      <c r="F25" s="10"/>
      <c r="G25" s="10"/>
      <c r="H25" s="10"/>
      <c r="I25" s="10"/>
    </row>
    <row r="26" spans="1:9" ht="15" customHeight="1">
      <c r="A26" s="48"/>
      <c r="B26" s="31"/>
      <c r="C26" s="31"/>
      <c r="D26" s="32"/>
      <c r="E26" s="31"/>
      <c r="F26" s="31"/>
      <c r="G26" s="31"/>
      <c r="H26" s="32"/>
      <c r="I26" s="31"/>
    </row>
    <row r="27" spans="1:9" ht="24" customHeight="1">
      <c r="A27" s="230" t="s">
        <v>261</v>
      </c>
      <c r="B27" s="230"/>
      <c r="C27" s="230"/>
      <c r="D27" s="230"/>
      <c r="E27" s="230"/>
      <c r="F27" s="230"/>
      <c r="G27" s="230"/>
      <c r="H27" s="230"/>
      <c r="I27" s="230"/>
    </row>
    <row r="28" ht="15" customHeight="1">
      <c r="A28" s="49"/>
    </row>
    <row r="29" ht="15" customHeight="1">
      <c r="A29" s="49"/>
    </row>
    <row r="30" ht="15" customHeight="1">
      <c r="A30" s="49"/>
    </row>
    <row r="31" ht="15" customHeight="1">
      <c r="A31" s="49"/>
    </row>
    <row r="32" ht="15" customHeight="1">
      <c r="A32" s="49"/>
    </row>
    <row r="33" ht="15" customHeight="1">
      <c r="A33" s="49"/>
    </row>
    <row r="34" ht="15" customHeight="1">
      <c r="A34" s="49"/>
    </row>
    <row r="35" ht="15" customHeight="1">
      <c r="A35" s="49"/>
    </row>
    <row r="36" ht="15" customHeight="1">
      <c r="A36" s="49"/>
    </row>
    <row r="37" ht="15" customHeight="1">
      <c r="A37" s="49"/>
    </row>
    <row r="38" ht="15" customHeight="1">
      <c r="A38" s="49"/>
    </row>
    <row r="39" ht="15" customHeight="1">
      <c r="A39" s="49"/>
    </row>
    <row r="40" ht="15" customHeight="1">
      <c r="A40" s="49"/>
    </row>
    <row r="41" ht="15" customHeight="1">
      <c r="A41" s="49"/>
    </row>
  </sheetData>
  <sheetProtection password="DCC4" sheet="1" objects="1" scenarios="1"/>
  <mergeCells count="2">
    <mergeCell ref="D3:G3"/>
    <mergeCell ref="A27:I27"/>
  </mergeCells>
  <printOptions/>
  <pageMargins left="0.3937007874015748" right="0.3937007874015748" top="0.3937007874015748" bottom="0.3937007874015748"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H70"/>
  <sheetViews>
    <sheetView zoomScalePageLayoutView="0" workbookViewId="0" topLeftCell="A1">
      <selection activeCell="A1" sqref="A1"/>
    </sheetView>
  </sheetViews>
  <sheetFormatPr defaultColWidth="9.33203125" defaultRowHeight="15" customHeight="1"/>
  <cols>
    <col min="1" max="1" width="2.83203125" style="34" customWidth="1"/>
    <col min="2" max="2" width="67" style="34" customWidth="1"/>
    <col min="3" max="3" width="9.33203125" style="34" customWidth="1"/>
    <col min="4" max="4" width="17.33203125" style="34" customWidth="1"/>
    <col min="5" max="5" width="2.33203125" style="34" customWidth="1"/>
    <col min="6" max="6" width="17.33203125" style="34" customWidth="1"/>
    <col min="7" max="7" width="9.33203125" style="34" customWidth="1"/>
    <col min="8" max="8" width="10.33203125" style="34" bestFit="1" customWidth="1"/>
    <col min="9" max="16384" width="9.33203125" style="34" customWidth="1"/>
  </cols>
  <sheetData>
    <row r="1" spans="1:6" ht="75" customHeight="1">
      <c r="A1" s="1"/>
      <c r="B1" s="1"/>
      <c r="C1" s="1"/>
      <c r="D1" s="1"/>
      <c r="E1" s="1"/>
      <c r="F1" s="1"/>
    </row>
    <row r="2" spans="1:6" ht="15" customHeight="1">
      <c r="A2" s="4" t="str">
        <f>"Condensed Statements of Cash Flows for the "&amp;RIGHT(SCI!A2,25)</f>
        <v>Condensed Statements of Cash Flows for the 6 months ended 30/06/2011</v>
      </c>
      <c r="B2" s="42"/>
      <c r="C2" s="42"/>
      <c r="D2" s="42"/>
      <c r="E2" s="42"/>
      <c r="F2" s="42"/>
    </row>
    <row r="3" spans="1:6" ht="11.25">
      <c r="A3" s="1"/>
      <c r="B3" s="1"/>
      <c r="C3" s="1"/>
      <c r="D3" s="232" t="str">
        <f>"   "&amp;SCI!G4</f>
        <v>   6 months ended </v>
      </c>
      <c r="E3" s="232"/>
      <c r="F3" s="232"/>
    </row>
    <row r="4" spans="1:6" ht="15" customHeight="1">
      <c r="A4" s="1"/>
      <c r="B4" s="1"/>
      <c r="C4" s="1"/>
      <c r="D4" s="77" t="str">
        <f>SCI!D5</f>
        <v>30/06/2011</v>
      </c>
      <c r="E4" s="1"/>
      <c r="F4" s="78">
        <f>SCI!H5</f>
        <v>40359</v>
      </c>
    </row>
    <row r="5" spans="1:6" ht="15" customHeight="1">
      <c r="A5" s="1"/>
      <c r="B5" s="1"/>
      <c r="C5" s="1"/>
      <c r="D5" s="75" t="s">
        <v>1</v>
      </c>
      <c r="E5" s="1"/>
      <c r="F5" s="75" t="s">
        <v>1</v>
      </c>
    </row>
    <row r="6" spans="1:6" ht="15" customHeight="1" hidden="1">
      <c r="A6" s="4" t="s">
        <v>85</v>
      </c>
      <c r="B6" s="1"/>
      <c r="C6" s="1"/>
      <c r="D6" s="29"/>
      <c r="E6" s="1"/>
      <c r="F6" s="29"/>
    </row>
    <row r="7" spans="1:6" ht="15" customHeight="1" hidden="1">
      <c r="A7" s="42" t="s">
        <v>82</v>
      </c>
      <c r="B7" s="1"/>
      <c r="C7" s="1"/>
      <c r="D7" s="13">
        <f>SCI!G21</f>
        <v>2134</v>
      </c>
      <c r="E7" s="1"/>
      <c r="F7" s="51">
        <v>1438</v>
      </c>
    </row>
    <row r="8" spans="1:6" ht="15" customHeight="1" hidden="1">
      <c r="A8" s="36" t="s">
        <v>27</v>
      </c>
      <c r="B8" s="1"/>
      <c r="C8" s="1"/>
      <c r="D8" s="8"/>
      <c r="E8" s="1"/>
      <c r="F8" s="37"/>
    </row>
    <row r="9" spans="1:6" ht="15" customHeight="1" hidden="1">
      <c r="A9" s="52" t="s">
        <v>28</v>
      </c>
      <c r="B9" s="1"/>
      <c r="C9" s="1"/>
      <c r="D9" s="8">
        <v>672</v>
      </c>
      <c r="E9" s="1"/>
      <c r="F9" s="37">
        <v>251</v>
      </c>
    </row>
    <row r="10" spans="1:6" ht="15" customHeight="1" hidden="1">
      <c r="A10" s="52" t="s">
        <v>65</v>
      </c>
      <c r="B10" s="1"/>
      <c r="C10" s="1"/>
      <c r="D10" s="8">
        <v>-210</v>
      </c>
      <c r="E10" s="1"/>
      <c r="F10" s="37">
        <v>-1</v>
      </c>
    </row>
    <row r="11" spans="1:6" ht="15" customHeight="1" hidden="1">
      <c r="A11" s="52" t="s">
        <v>66</v>
      </c>
      <c r="B11" s="1"/>
      <c r="C11" s="1"/>
      <c r="D11" s="8">
        <v>0</v>
      </c>
      <c r="E11" s="1"/>
      <c r="F11" s="37">
        <v>0</v>
      </c>
    </row>
    <row r="12" spans="1:6" ht="15" customHeight="1" hidden="1">
      <c r="A12" s="52" t="s">
        <v>33</v>
      </c>
      <c r="B12" s="1"/>
      <c r="C12" s="1"/>
      <c r="D12" s="8">
        <v>0</v>
      </c>
      <c r="E12" s="1"/>
      <c r="F12" s="37">
        <v>7</v>
      </c>
    </row>
    <row r="13" spans="1:6" ht="15" customHeight="1" hidden="1">
      <c r="A13" s="52" t="s">
        <v>29</v>
      </c>
      <c r="B13" s="1"/>
      <c r="C13" s="1"/>
      <c r="D13" s="8">
        <v>609</v>
      </c>
      <c r="E13" s="1"/>
      <c r="F13" s="37">
        <v>355</v>
      </c>
    </row>
    <row r="14" spans="1:6" ht="15" customHeight="1" hidden="1">
      <c r="A14" s="52" t="s">
        <v>30</v>
      </c>
      <c r="B14" s="1"/>
      <c r="C14" s="1"/>
      <c r="D14" s="8">
        <v>0</v>
      </c>
      <c r="E14" s="1"/>
      <c r="F14" s="37">
        <v>0</v>
      </c>
    </row>
    <row r="15" spans="1:6" ht="15" customHeight="1" hidden="1">
      <c r="A15" s="53" t="s">
        <v>31</v>
      </c>
      <c r="B15" s="1"/>
      <c r="C15" s="1"/>
      <c r="D15" s="8">
        <v>0</v>
      </c>
      <c r="E15" s="1"/>
      <c r="F15" s="37">
        <v>0</v>
      </c>
    </row>
    <row r="16" spans="1:6" ht="15" customHeight="1" hidden="1">
      <c r="A16" s="52" t="s">
        <v>32</v>
      </c>
      <c r="B16" s="1"/>
      <c r="C16" s="1"/>
      <c r="D16" s="8">
        <v>0</v>
      </c>
      <c r="E16" s="1"/>
      <c r="F16" s="37">
        <v>0</v>
      </c>
    </row>
    <row r="17" spans="1:6" ht="15" customHeight="1" hidden="1">
      <c r="A17" s="52" t="s">
        <v>34</v>
      </c>
      <c r="B17" s="1"/>
      <c r="C17" s="1"/>
      <c r="D17" s="8">
        <v>0</v>
      </c>
      <c r="E17" s="1"/>
      <c r="F17" s="37">
        <v>0</v>
      </c>
    </row>
    <row r="18" spans="1:6" ht="15" customHeight="1" hidden="1">
      <c r="A18" s="52" t="s">
        <v>35</v>
      </c>
      <c r="B18" s="1"/>
      <c r="C18" s="1"/>
      <c r="D18" s="8">
        <v>0</v>
      </c>
      <c r="E18" s="1"/>
      <c r="F18" s="37">
        <v>0</v>
      </c>
    </row>
    <row r="19" spans="1:6" ht="15" customHeight="1" hidden="1">
      <c r="A19" s="52" t="s">
        <v>84</v>
      </c>
      <c r="B19" s="1"/>
      <c r="C19" s="1"/>
      <c r="D19" s="10">
        <v>-280</v>
      </c>
      <c r="E19" s="1"/>
      <c r="F19" s="50">
        <v>-88</v>
      </c>
    </row>
    <row r="20" spans="1:6" ht="15" customHeight="1" hidden="1">
      <c r="A20" s="52" t="s">
        <v>76</v>
      </c>
      <c r="B20" s="1"/>
      <c r="C20" s="1"/>
      <c r="D20" s="11">
        <v>0</v>
      </c>
      <c r="E20" s="1"/>
      <c r="F20" s="41">
        <v>0</v>
      </c>
    </row>
    <row r="21" spans="1:6" s="40" customFormat="1" ht="15" customHeight="1" hidden="1">
      <c r="A21" s="42" t="s">
        <v>83</v>
      </c>
      <c r="B21" s="4"/>
      <c r="C21" s="4"/>
      <c r="D21" s="39">
        <f>SUM(D7:D20)</f>
        <v>2925</v>
      </c>
      <c r="E21" s="4"/>
      <c r="F21" s="39">
        <f>SUM(F7:F20)</f>
        <v>1962</v>
      </c>
    </row>
    <row r="22" spans="1:6" s="40" customFormat="1" ht="11.25" hidden="1">
      <c r="A22" s="42"/>
      <c r="B22" s="4"/>
      <c r="C22" s="4"/>
      <c r="D22" s="15"/>
      <c r="E22" s="4"/>
      <c r="F22" s="44"/>
    </row>
    <row r="23" spans="1:6" s="40" customFormat="1" ht="11.25" hidden="1">
      <c r="A23" s="42" t="s">
        <v>86</v>
      </c>
      <c r="B23" s="4"/>
      <c r="C23" s="4"/>
      <c r="D23" s="13"/>
      <c r="E23" s="4"/>
      <c r="F23" s="51"/>
    </row>
    <row r="24" spans="1:6" ht="15" customHeight="1" hidden="1">
      <c r="A24" s="52" t="s">
        <v>67</v>
      </c>
      <c r="B24" s="1"/>
      <c r="C24" s="1"/>
      <c r="D24" s="8">
        <v>8014</v>
      </c>
      <c r="E24" s="1"/>
      <c r="F24" s="37">
        <v>-370</v>
      </c>
    </row>
    <row r="25" spans="1:6" ht="15" customHeight="1" hidden="1">
      <c r="A25" s="52" t="s">
        <v>68</v>
      </c>
      <c r="B25" s="1"/>
      <c r="C25" s="1"/>
      <c r="D25" s="8">
        <v>-2328</v>
      </c>
      <c r="E25" s="1"/>
      <c r="F25" s="37">
        <v>313</v>
      </c>
    </row>
    <row r="26" spans="1:6" ht="15" customHeight="1" hidden="1">
      <c r="A26" s="52" t="s">
        <v>69</v>
      </c>
      <c r="B26" s="1"/>
      <c r="C26" s="1"/>
      <c r="D26" s="8">
        <v>-105</v>
      </c>
      <c r="E26" s="1"/>
      <c r="F26" s="37">
        <f>-1926-10</f>
        <v>-1936</v>
      </c>
    </row>
    <row r="27" spans="1:6" ht="15" customHeight="1" hidden="1">
      <c r="A27" s="52" t="s">
        <v>250</v>
      </c>
      <c r="B27" s="1"/>
      <c r="C27" s="1"/>
      <c r="D27" s="11">
        <v>-8173</v>
      </c>
      <c r="E27" s="1"/>
      <c r="F27" s="41">
        <v>-1707</v>
      </c>
    </row>
    <row r="28" spans="1:6" ht="15" customHeight="1" hidden="1">
      <c r="A28" s="36"/>
      <c r="B28" s="1"/>
      <c r="C28" s="1"/>
      <c r="D28" s="39">
        <f>SUM(D24:D27)</f>
        <v>-2592</v>
      </c>
      <c r="E28" s="1"/>
      <c r="F28" s="39">
        <f>SUM(F24:F27)</f>
        <v>-3700</v>
      </c>
    </row>
    <row r="29" spans="1:6" ht="11.25" hidden="1">
      <c r="A29" s="36"/>
      <c r="B29" s="1"/>
      <c r="C29" s="1"/>
      <c r="D29" s="15"/>
      <c r="E29" s="1"/>
      <c r="F29" s="15"/>
    </row>
    <row r="30" spans="1:6" s="40" customFormat="1" ht="15" customHeight="1" hidden="1">
      <c r="A30" s="42" t="s">
        <v>71</v>
      </c>
      <c r="B30" s="4"/>
      <c r="C30" s="4"/>
      <c r="D30" s="15">
        <f>D21+D28</f>
        <v>333</v>
      </c>
      <c r="E30" s="4"/>
      <c r="F30" s="15">
        <f>F21+F28</f>
        <v>-1738</v>
      </c>
    </row>
    <row r="31" spans="1:6" s="40" customFormat="1" ht="11.25" hidden="1">
      <c r="A31" s="42"/>
      <c r="B31" s="4"/>
      <c r="C31" s="4"/>
      <c r="D31" s="15"/>
      <c r="E31" s="4"/>
      <c r="F31" s="44"/>
    </row>
    <row r="32" spans="1:6" ht="15" customHeight="1" hidden="1">
      <c r="A32" s="52" t="s">
        <v>36</v>
      </c>
      <c r="B32" s="1"/>
      <c r="C32" s="1"/>
      <c r="D32" s="8">
        <v>-609</v>
      </c>
      <c r="E32" s="1"/>
      <c r="F32" s="37">
        <v>-355</v>
      </c>
    </row>
    <row r="33" spans="1:6" ht="15" customHeight="1" hidden="1">
      <c r="A33" s="52" t="s">
        <v>113</v>
      </c>
      <c r="B33" s="1"/>
      <c r="C33" s="1"/>
      <c r="D33" s="8">
        <v>65</v>
      </c>
      <c r="E33" s="1"/>
      <c r="F33" s="37">
        <v>0</v>
      </c>
    </row>
    <row r="34" spans="1:6" ht="15" customHeight="1" hidden="1">
      <c r="A34" s="52" t="s">
        <v>37</v>
      </c>
      <c r="B34" s="1"/>
      <c r="C34" s="1"/>
      <c r="D34" s="8">
        <v>-952</v>
      </c>
      <c r="E34" s="1"/>
      <c r="F34" s="37">
        <v>-656</v>
      </c>
    </row>
    <row r="35" spans="1:6" ht="15" customHeight="1" hidden="1">
      <c r="A35" s="36"/>
      <c r="B35" s="1"/>
      <c r="C35" s="1"/>
      <c r="D35" s="39">
        <f>SUM(D32:D34)</f>
        <v>-1496</v>
      </c>
      <c r="E35" s="1"/>
      <c r="F35" s="39">
        <f>SUM(F32:F34)</f>
        <v>-1011</v>
      </c>
    </row>
    <row r="36" spans="1:6" ht="11.25" hidden="1">
      <c r="A36" s="36"/>
      <c r="B36" s="1"/>
      <c r="C36" s="1"/>
      <c r="D36" s="54"/>
      <c r="E36" s="1"/>
      <c r="F36" s="54"/>
    </row>
    <row r="37" spans="1:6" s="70" customFormat="1" ht="15" customHeight="1">
      <c r="A37" s="65" t="s">
        <v>109</v>
      </c>
      <c r="B37" s="65"/>
      <c r="C37" s="65"/>
      <c r="D37" s="69">
        <f>D30+D35</f>
        <v>-1163</v>
      </c>
      <c r="E37" s="65"/>
      <c r="F37" s="69">
        <f>F30+F35</f>
        <v>-2749</v>
      </c>
    </row>
    <row r="38" spans="1:6" ht="11.25">
      <c r="A38" s="1"/>
      <c r="B38" s="1"/>
      <c r="C38" s="1"/>
      <c r="D38" s="8"/>
      <c r="E38" s="1"/>
      <c r="F38" s="37"/>
    </row>
    <row r="39" spans="1:6" ht="15" customHeight="1">
      <c r="A39" s="4" t="s">
        <v>87</v>
      </c>
      <c r="B39" s="1"/>
      <c r="C39" s="1"/>
      <c r="D39" s="8"/>
      <c r="E39" s="1"/>
      <c r="F39" s="37"/>
    </row>
    <row r="40" spans="1:6" ht="15" customHeight="1">
      <c r="A40" s="52" t="s">
        <v>43</v>
      </c>
      <c r="B40" s="1"/>
      <c r="C40" s="1"/>
      <c r="D40" s="8">
        <v>0</v>
      </c>
      <c r="E40" s="1"/>
      <c r="F40" s="37">
        <v>4</v>
      </c>
    </row>
    <row r="41" spans="1:6" ht="15" customHeight="1">
      <c r="A41" s="52" t="s">
        <v>44</v>
      </c>
      <c r="B41" s="1"/>
      <c r="C41" s="1"/>
      <c r="D41" s="10">
        <v>-484</v>
      </c>
      <c r="E41" s="1"/>
      <c r="F41" s="50">
        <v>-511</v>
      </c>
    </row>
    <row r="42" spans="1:6" ht="15" customHeight="1" hidden="1">
      <c r="A42" s="52" t="s">
        <v>38</v>
      </c>
      <c r="B42" s="1"/>
      <c r="C42" s="1"/>
      <c r="D42" s="8">
        <v>0</v>
      </c>
      <c r="E42" s="1"/>
      <c r="F42" s="37">
        <v>0</v>
      </c>
    </row>
    <row r="43" spans="1:6" ht="15" customHeight="1" hidden="1">
      <c r="A43" s="52" t="s">
        <v>39</v>
      </c>
      <c r="B43" s="1"/>
      <c r="C43" s="1"/>
      <c r="D43" s="8">
        <v>0</v>
      </c>
      <c r="E43" s="1"/>
      <c r="F43" s="37">
        <v>0</v>
      </c>
    </row>
    <row r="44" spans="1:6" ht="15" customHeight="1" hidden="1">
      <c r="A44" s="52" t="s">
        <v>40</v>
      </c>
      <c r="B44" s="1"/>
      <c r="C44" s="1"/>
      <c r="D44" s="8">
        <v>0</v>
      </c>
      <c r="E44" s="1"/>
      <c r="F44" s="37">
        <v>0</v>
      </c>
    </row>
    <row r="45" spans="1:6" ht="15" customHeight="1" hidden="1">
      <c r="A45" s="52" t="s">
        <v>41</v>
      </c>
      <c r="B45" s="1"/>
      <c r="C45" s="1"/>
      <c r="D45" s="8">
        <v>0</v>
      </c>
      <c r="E45" s="1"/>
      <c r="F45" s="37">
        <v>0</v>
      </c>
    </row>
    <row r="46" spans="1:6" ht="15" customHeight="1" hidden="1">
      <c r="A46" s="52" t="s">
        <v>42</v>
      </c>
      <c r="B46" s="1"/>
      <c r="C46" s="1"/>
      <c r="D46" s="8">
        <v>0</v>
      </c>
      <c r="E46" s="1"/>
      <c r="F46" s="37">
        <v>0</v>
      </c>
    </row>
    <row r="47" spans="1:6" ht="15" customHeight="1" hidden="1">
      <c r="A47" s="52" t="s">
        <v>70</v>
      </c>
      <c r="B47" s="1"/>
      <c r="C47" s="1"/>
      <c r="D47" s="8">
        <v>0</v>
      </c>
      <c r="E47" s="1"/>
      <c r="F47" s="37">
        <v>0</v>
      </c>
    </row>
    <row r="48" spans="1:6" ht="15" customHeight="1">
      <c r="A48" s="52" t="s">
        <v>252</v>
      </c>
      <c r="B48" s="1"/>
      <c r="C48" s="1"/>
      <c r="D48" s="11">
        <v>1247</v>
      </c>
      <c r="E48" s="1"/>
      <c r="F48" s="41">
        <v>-800</v>
      </c>
    </row>
    <row r="49" spans="1:6" s="68" customFormat="1" ht="15" customHeight="1">
      <c r="A49" s="65" t="s">
        <v>251</v>
      </c>
      <c r="B49" s="66"/>
      <c r="C49" s="66"/>
      <c r="D49" s="67">
        <f>SUM(D40:D48)</f>
        <v>763</v>
      </c>
      <c r="E49" s="66"/>
      <c r="F49" s="67">
        <f>SUM(F40:F48)</f>
        <v>-1307</v>
      </c>
    </row>
    <row r="50" spans="1:6" ht="11.25">
      <c r="A50" s="4"/>
      <c r="B50" s="1"/>
      <c r="C50" s="1"/>
      <c r="D50" s="57"/>
      <c r="E50" s="1"/>
      <c r="F50" s="58"/>
    </row>
    <row r="51" spans="1:6" ht="15" customHeight="1">
      <c r="A51" s="4" t="s">
        <v>88</v>
      </c>
      <c r="B51" s="1"/>
      <c r="C51" s="1"/>
      <c r="D51" s="8"/>
      <c r="E51" s="1"/>
      <c r="F51" s="37"/>
    </row>
    <row r="52" spans="1:6" ht="15" customHeight="1">
      <c r="A52" s="52" t="s">
        <v>89</v>
      </c>
      <c r="B52" s="1"/>
      <c r="C52" s="1"/>
      <c r="D52" s="8">
        <v>10577</v>
      </c>
      <c r="E52" s="1"/>
      <c r="F52" s="37">
        <v>0</v>
      </c>
    </row>
    <row r="53" spans="1:6" ht="15" customHeight="1" hidden="1">
      <c r="A53" s="52" t="s">
        <v>90</v>
      </c>
      <c r="B53" s="1"/>
      <c r="C53" s="1"/>
      <c r="D53" s="8">
        <v>0</v>
      </c>
      <c r="E53" s="1"/>
      <c r="F53" s="37">
        <v>0</v>
      </c>
    </row>
    <row r="54" spans="1:6" ht="15" customHeight="1">
      <c r="A54" s="52" t="s">
        <v>91</v>
      </c>
      <c r="B54" s="1"/>
      <c r="C54" s="1"/>
      <c r="D54" s="8">
        <v>-2880</v>
      </c>
      <c r="E54" s="1"/>
      <c r="F54" s="37">
        <v>-3000</v>
      </c>
    </row>
    <row r="55" spans="1:6" ht="15" customHeight="1">
      <c r="A55" s="52" t="s">
        <v>93</v>
      </c>
      <c r="B55" s="1"/>
      <c r="C55" s="1"/>
      <c r="D55" s="8">
        <v>-107</v>
      </c>
      <c r="E55" s="1"/>
      <c r="F55" s="50">
        <v>-72</v>
      </c>
    </row>
    <row r="56" spans="1:6" ht="15" customHeight="1">
      <c r="A56" s="52" t="s">
        <v>92</v>
      </c>
      <c r="B56" s="1"/>
      <c r="C56" s="1"/>
      <c r="D56" s="11">
        <v>-75</v>
      </c>
      <c r="E56" s="1"/>
      <c r="F56" s="41">
        <v>-129</v>
      </c>
    </row>
    <row r="57" spans="1:6" s="68" customFormat="1" ht="15" customHeight="1">
      <c r="A57" s="65" t="s">
        <v>253</v>
      </c>
      <c r="B57" s="66"/>
      <c r="C57" s="66"/>
      <c r="D57" s="67">
        <f>SUM(D52:D56)</f>
        <v>7515</v>
      </c>
      <c r="E57" s="66"/>
      <c r="F57" s="67">
        <f>SUM(F52:F56)</f>
        <v>-3201</v>
      </c>
    </row>
    <row r="58" spans="1:6" s="71" customFormat="1" ht="11.25">
      <c r="A58" s="2"/>
      <c r="B58" s="2"/>
      <c r="C58" s="2"/>
      <c r="D58" s="57"/>
      <c r="E58" s="2"/>
      <c r="F58" s="58"/>
    </row>
    <row r="59" spans="1:6" ht="15" customHeight="1">
      <c r="A59" s="4" t="s">
        <v>254</v>
      </c>
      <c r="B59" s="1"/>
      <c r="C59" s="1"/>
      <c r="D59" s="15">
        <f>D57+D49+D37</f>
        <v>7115</v>
      </c>
      <c r="E59" s="1"/>
      <c r="F59" s="15">
        <f>F57+F49+F37</f>
        <v>-7257</v>
      </c>
    </row>
    <row r="60" spans="1:6" ht="15" customHeight="1">
      <c r="A60" s="4" t="s">
        <v>255</v>
      </c>
      <c r="B60" s="1"/>
      <c r="C60" s="1"/>
      <c r="D60" s="13">
        <v>7129</v>
      </c>
      <c r="E60" s="1"/>
      <c r="F60" s="51">
        <v>11576</v>
      </c>
    </row>
    <row r="61" spans="1:6" ht="15" customHeight="1" hidden="1">
      <c r="A61" s="47" t="s">
        <v>94</v>
      </c>
      <c r="B61" s="1"/>
      <c r="C61" s="1"/>
      <c r="D61" s="8">
        <v>0</v>
      </c>
      <c r="E61" s="1"/>
      <c r="F61" s="51">
        <v>0</v>
      </c>
    </row>
    <row r="62" spans="1:8" ht="15" customHeight="1" thickBot="1">
      <c r="A62" s="4" t="s">
        <v>95</v>
      </c>
      <c r="B62" s="1"/>
      <c r="C62" s="1"/>
      <c r="D62" s="18">
        <f>D59+D60+D61</f>
        <v>14244</v>
      </c>
      <c r="E62" s="1"/>
      <c r="F62" s="18">
        <f>F59+F60+F61</f>
        <v>4319</v>
      </c>
      <c r="G62" s="61">
        <f>D62-SFP!D17</f>
        <v>0</v>
      </c>
      <c r="H62" s="61"/>
    </row>
    <row r="63" spans="1:6" ht="12" thickTop="1">
      <c r="A63" s="1"/>
      <c r="B63" s="1"/>
      <c r="C63" s="1"/>
      <c r="D63" s="10"/>
      <c r="E63" s="1"/>
      <c r="F63" s="50"/>
    </row>
    <row r="64" spans="1:6" ht="15" customHeight="1">
      <c r="A64" s="4" t="s">
        <v>96</v>
      </c>
      <c r="B64" s="1"/>
      <c r="C64" s="1"/>
      <c r="D64" s="10"/>
      <c r="E64" s="1"/>
      <c r="F64" s="50"/>
    </row>
    <row r="65" spans="1:6" ht="15" customHeight="1">
      <c r="A65" s="52" t="s">
        <v>16</v>
      </c>
      <c r="B65" s="1"/>
      <c r="C65" s="1"/>
      <c r="D65" s="50">
        <f>D67-D66</f>
        <v>14244</v>
      </c>
      <c r="E65" s="1"/>
      <c r="F65" s="50">
        <f>F67-F66</f>
        <v>4330</v>
      </c>
    </row>
    <row r="66" spans="1:6" ht="15" customHeight="1">
      <c r="A66" s="52" t="s">
        <v>25</v>
      </c>
      <c r="B66" s="1"/>
      <c r="C66" s="1"/>
      <c r="D66" s="50">
        <v>0</v>
      </c>
      <c r="E66" s="1"/>
      <c r="F66" s="50">
        <v>-11</v>
      </c>
    </row>
    <row r="67" spans="1:6" s="40" customFormat="1" ht="15" customHeight="1" thickBot="1">
      <c r="A67" s="4"/>
      <c r="B67" s="4"/>
      <c r="C67" s="4"/>
      <c r="D67" s="55">
        <f>D62</f>
        <v>14244</v>
      </c>
      <c r="E67" s="4"/>
      <c r="F67" s="55">
        <f>F62</f>
        <v>4319</v>
      </c>
    </row>
    <row r="68" spans="1:6" ht="15" customHeight="1" thickTop="1">
      <c r="A68" s="1"/>
      <c r="B68" s="1"/>
      <c r="C68" s="1"/>
      <c r="D68" s="10"/>
      <c r="E68" s="1"/>
      <c r="F68" s="10"/>
    </row>
    <row r="69" spans="1:6" ht="32.25" customHeight="1">
      <c r="A69" s="230" t="s">
        <v>262</v>
      </c>
      <c r="B69" s="230"/>
      <c r="C69" s="230"/>
      <c r="D69" s="230"/>
      <c r="E69" s="230"/>
      <c r="F69" s="230"/>
    </row>
    <row r="70" ht="15" customHeight="1">
      <c r="A70" s="49"/>
    </row>
  </sheetData>
  <sheetProtection password="DCC4" sheet="1" objects="1" scenarios="1"/>
  <mergeCells count="2">
    <mergeCell ref="D3:F3"/>
    <mergeCell ref="A69:F69"/>
  </mergeCells>
  <printOptions/>
  <pageMargins left="0.3937007874015748" right="0.3937007874015748" top="0.3937007874015748" bottom="0.3937007874015748"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L90"/>
  <sheetViews>
    <sheetView zoomScaleSheetLayoutView="100" zoomScalePageLayoutView="0" workbookViewId="0" topLeftCell="A36">
      <selection activeCell="A1" sqref="A1"/>
    </sheetView>
  </sheetViews>
  <sheetFormatPr defaultColWidth="9.33203125" defaultRowHeight="10.5"/>
  <cols>
    <col min="1" max="1" width="6.16015625" style="85" customWidth="1"/>
    <col min="2" max="10" width="12.16015625" style="85" customWidth="1"/>
    <col min="11" max="11" width="5.16015625" style="85" customWidth="1"/>
    <col min="12" max="16384" width="9.33203125" style="85" customWidth="1"/>
  </cols>
  <sheetData>
    <row r="1" spans="1:11" s="84" customFormat="1" ht="75" customHeight="1">
      <c r="A1" s="31"/>
      <c r="B1" s="31"/>
      <c r="C1" s="31"/>
      <c r="D1" s="31"/>
      <c r="E1" s="31"/>
      <c r="F1" s="31"/>
      <c r="G1" s="31"/>
      <c r="H1" s="31"/>
      <c r="I1" s="31"/>
      <c r="J1" s="31"/>
      <c r="K1" s="31"/>
    </row>
    <row r="2" spans="1:11" s="96" customFormat="1" ht="15" customHeight="1">
      <c r="A2" s="95"/>
      <c r="B2" s="95"/>
      <c r="C2" s="95"/>
      <c r="D2" s="95"/>
      <c r="E2" s="95"/>
      <c r="F2" s="95"/>
      <c r="G2" s="95"/>
      <c r="H2" s="95"/>
      <c r="I2" s="95"/>
      <c r="J2" s="95"/>
      <c r="K2" s="95"/>
    </row>
    <row r="3" spans="1:11" s="83" customFormat="1" ht="15" customHeight="1">
      <c r="A3" s="81" t="str">
        <f>"Note of the Interim Financial Report for the "&amp;RIGHT(SCI!A2,25)</f>
        <v>Note of the Interim Financial Report for the 6 months ended 30/06/2011</v>
      </c>
      <c r="B3" s="82"/>
      <c r="C3" s="82"/>
      <c r="D3" s="82"/>
      <c r="E3" s="82"/>
      <c r="F3" s="82"/>
      <c r="G3" s="82"/>
      <c r="H3" s="82"/>
      <c r="I3" s="82"/>
      <c r="J3" s="82"/>
      <c r="K3" s="82"/>
    </row>
    <row r="4" spans="1:11" s="83" customFormat="1" ht="10.5">
      <c r="A4" s="82"/>
      <c r="B4" s="82"/>
      <c r="C4" s="82"/>
      <c r="D4" s="82"/>
      <c r="E4" s="82"/>
      <c r="F4" s="82"/>
      <c r="G4" s="82"/>
      <c r="H4" s="82"/>
      <c r="I4" s="82"/>
      <c r="J4" s="82"/>
      <c r="K4" s="82"/>
    </row>
    <row r="5" spans="1:11" s="83" customFormat="1" ht="24" customHeight="1">
      <c r="A5" s="237" t="s">
        <v>152</v>
      </c>
      <c r="B5" s="237"/>
      <c r="C5" s="237"/>
      <c r="D5" s="237"/>
      <c r="E5" s="237"/>
      <c r="F5" s="237"/>
      <c r="G5" s="237"/>
      <c r="H5" s="237"/>
      <c r="I5" s="237"/>
      <c r="J5" s="237"/>
      <c r="K5" s="237"/>
    </row>
    <row r="6" spans="1:11" s="96" customFormat="1" ht="10.5">
      <c r="A6" s="95"/>
      <c r="B6" s="95"/>
      <c r="C6" s="95"/>
      <c r="D6" s="95"/>
      <c r="E6" s="95"/>
      <c r="F6" s="95"/>
      <c r="G6" s="95"/>
      <c r="H6" s="95"/>
      <c r="I6" s="95"/>
      <c r="J6" s="95"/>
      <c r="K6" s="95"/>
    </row>
    <row r="7" spans="1:11" s="96" customFormat="1" ht="15" customHeight="1">
      <c r="A7" s="94" t="s">
        <v>117</v>
      </c>
      <c r="B7" s="97" t="s">
        <v>116</v>
      </c>
      <c r="C7" s="97"/>
      <c r="D7" s="97"/>
      <c r="E7" s="97"/>
      <c r="F7" s="97"/>
      <c r="G7" s="97"/>
      <c r="H7" s="97"/>
      <c r="I7" s="97"/>
      <c r="J7" s="97"/>
      <c r="K7" s="97"/>
    </row>
    <row r="8" spans="1:11" s="96" customFormat="1" ht="73.5" customHeight="1">
      <c r="A8" s="95"/>
      <c r="B8" s="236" t="str">
        <f>"The interim financial report has been prepared in accordance with FRS 134, Interim Financial Reporting and paragraph 9.22 of the Bursa Malaysia Securities Berhad Listing Requirement. The figures for the cumulative period "&amp;SCI!G4&amp;" "&amp;SCI!G5&amp;" have not been audited."&amp;""&amp;"The interim financial statements should be read in conjunction with the Audited Financial Statements of the Group for the financial year ended "&amp;SFP!F4&amp;". The accounting policies and methods of computation adopted for the interim financial statements are consistent with those adopted for the annual audited financial statements for the year ended "&amp;SFP!F4&amp;"."</f>
        <v>The interim financial report has been prepared in accordance with FRS 134, Interim Financial Reporting and paragraph 9.22 of the Bursa Malaysia Securities Berhad Listing Requirement. The figures for the cumulative period 6 months ended  30/06/2011 have not been audited.The interim financial statements should be read in conjunction with the Audited Financial Statements of the Group for the financial year ended 31/12/2010. The accounting policies and methods of computation adopted for the interim financial statements are consistent with those adopted for the annual audited financial statements for the year ended 31/12/2010.</v>
      </c>
      <c r="C8" s="236"/>
      <c r="D8" s="236"/>
      <c r="E8" s="236"/>
      <c r="F8" s="236"/>
      <c r="G8" s="236"/>
      <c r="H8" s="236"/>
      <c r="I8" s="236"/>
      <c r="J8" s="236"/>
      <c r="K8" s="236"/>
    </row>
    <row r="9" spans="1:11" s="96" customFormat="1" ht="15" customHeight="1">
      <c r="A9" s="95"/>
      <c r="B9" s="95"/>
      <c r="C9" s="95"/>
      <c r="D9" s="95"/>
      <c r="E9" s="95"/>
      <c r="F9" s="95"/>
      <c r="G9" s="95"/>
      <c r="H9" s="95"/>
      <c r="I9" s="95"/>
      <c r="J9" s="95"/>
      <c r="K9" s="95"/>
    </row>
    <row r="10" spans="1:11" s="96" customFormat="1" ht="15" customHeight="1">
      <c r="A10" s="94" t="str">
        <f>"A"&amp;MID(A7,2,1)+1&amp;"."</f>
        <v>A2.</v>
      </c>
      <c r="B10" s="97" t="s">
        <v>121</v>
      </c>
      <c r="C10" s="95"/>
      <c r="D10" s="95"/>
      <c r="E10" s="95"/>
      <c r="F10" s="95"/>
      <c r="G10" s="95"/>
      <c r="H10" s="95"/>
      <c r="I10" s="95"/>
      <c r="J10" s="95"/>
      <c r="K10" s="95"/>
    </row>
    <row r="11" spans="1:11" s="96" customFormat="1" ht="21" customHeight="1">
      <c r="A11" s="95"/>
      <c r="B11" s="236" t="s">
        <v>119</v>
      </c>
      <c r="C11" s="236"/>
      <c r="D11" s="236"/>
      <c r="E11" s="236"/>
      <c r="F11" s="236"/>
      <c r="G11" s="236"/>
      <c r="H11" s="236"/>
      <c r="I11" s="236"/>
      <c r="J11" s="236"/>
      <c r="K11" s="236"/>
    </row>
    <row r="12" spans="1:11" s="96" customFormat="1" ht="15" customHeight="1">
      <c r="A12" s="95"/>
      <c r="B12" s="95"/>
      <c r="C12" s="95"/>
      <c r="D12" s="95"/>
      <c r="E12" s="95"/>
      <c r="F12" s="95"/>
      <c r="G12" s="95"/>
      <c r="H12" s="95"/>
      <c r="I12" s="95"/>
      <c r="J12" s="95"/>
      <c r="K12" s="95"/>
    </row>
    <row r="13" spans="1:11" s="96" customFormat="1" ht="15" customHeight="1">
      <c r="A13" s="94" t="str">
        <f>"A"&amp;MID(A10,2,1)+1&amp;"."</f>
        <v>A3.</v>
      </c>
      <c r="B13" s="97" t="s">
        <v>122</v>
      </c>
      <c r="C13" s="95"/>
      <c r="D13" s="95"/>
      <c r="E13" s="95"/>
      <c r="F13" s="95"/>
      <c r="G13" s="95"/>
      <c r="H13" s="95"/>
      <c r="I13" s="95"/>
      <c r="J13" s="95"/>
      <c r="K13" s="95"/>
    </row>
    <row r="14" spans="1:11" s="96" customFormat="1" ht="21" customHeight="1">
      <c r="A14" s="95"/>
      <c r="B14" s="236" t="str">
        <f>"There were no unusual items of nature, size or incidence that affect the assets, liabilities, equity, net income or cash flows of the Group during the current quarter ended "&amp;SCI!G5&amp;"."</f>
        <v>There were no unusual items of nature, size or incidence that affect the assets, liabilities, equity, net income or cash flows of the Group during the current quarter ended 30/06/2011.</v>
      </c>
      <c r="C14" s="236"/>
      <c r="D14" s="236"/>
      <c r="E14" s="236"/>
      <c r="F14" s="236"/>
      <c r="G14" s="236"/>
      <c r="H14" s="236"/>
      <c r="I14" s="236"/>
      <c r="J14" s="236"/>
      <c r="K14" s="236"/>
    </row>
    <row r="15" spans="1:11" s="96" customFormat="1" ht="15" customHeight="1">
      <c r="A15" s="95"/>
      <c r="B15" s="236"/>
      <c r="C15" s="236"/>
      <c r="D15" s="236"/>
      <c r="E15" s="236"/>
      <c r="F15" s="236"/>
      <c r="G15" s="236"/>
      <c r="H15" s="236"/>
      <c r="I15" s="236"/>
      <c r="J15" s="236"/>
      <c r="K15" s="236"/>
    </row>
    <row r="16" spans="1:11" s="96" customFormat="1" ht="15" customHeight="1">
      <c r="A16" s="94" t="str">
        <f>"A"&amp;MID(A13,2,1)+1&amp;"."</f>
        <v>A4.</v>
      </c>
      <c r="B16" s="97" t="s">
        <v>120</v>
      </c>
      <c r="C16" s="95"/>
      <c r="D16" s="95"/>
      <c r="E16" s="95"/>
      <c r="F16" s="95"/>
      <c r="G16" s="95"/>
      <c r="H16" s="95"/>
      <c r="I16" s="95"/>
      <c r="J16" s="95"/>
      <c r="K16" s="95"/>
    </row>
    <row r="17" spans="1:11" s="96" customFormat="1" ht="22.5" customHeight="1">
      <c r="A17" s="95"/>
      <c r="B17" s="236" t="str">
        <f>"There were no material changes in estimates that had affected the Group during the current quarter ended "&amp;SCI!G5&amp;"."</f>
        <v>There were no material changes in estimates that had affected the Group during the current quarter ended 30/06/2011.</v>
      </c>
      <c r="C17" s="236"/>
      <c r="D17" s="236"/>
      <c r="E17" s="236"/>
      <c r="F17" s="236"/>
      <c r="G17" s="236"/>
      <c r="H17" s="236"/>
      <c r="I17" s="236"/>
      <c r="J17" s="236"/>
      <c r="K17" s="236"/>
    </row>
    <row r="18" spans="1:11" s="96" customFormat="1" ht="15" customHeight="1">
      <c r="A18" s="95"/>
      <c r="B18" s="95"/>
      <c r="C18" s="95"/>
      <c r="D18" s="95"/>
      <c r="E18" s="95"/>
      <c r="F18" s="95"/>
      <c r="G18" s="95"/>
      <c r="H18" s="95"/>
      <c r="I18" s="95"/>
      <c r="J18" s="95"/>
      <c r="K18" s="95"/>
    </row>
    <row r="19" spans="1:11" s="96" customFormat="1" ht="15" customHeight="1">
      <c r="A19" s="94" t="str">
        <f>"A"&amp;MID(A16,2,1)+1&amp;"."</f>
        <v>A5.</v>
      </c>
      <c r="B19" s="97" t="s">
        <v>123</v>
      </c>
      <c r="C19" s="95"/>
      <c r="D19" s="95"/>
      <c r="E19" s="95"/>
      <c r="F19" s="95"/>
      <c r="G19" s="95"/>
      <c r="H19" s="95"/>
      <c r="I19" s="95"/>
      <c r="J19" s="95"/>
      <c r="K19" s="95"/>
    </row>
    <row r="20" spans="1:11" s="96" customFormat="1" ht="100.5" customHeight="1">
      <c r="A20" s="95"/>
      <c r="B20" s="236" t="s">
        <v>269</v>
      </c>
      <c r="C20" s="236"/>
      <c r="D20" s="236"/>
      <c r="E20" s="236"/>
      <c r="F20" s="236"/>
      <c r="G20" s="236"/>
      <c r="H20" s="236"/>
      <c r="I20" s="236"/>
      <c r="J20" s="236"/>
      <c r="K20" s="236"/>
    </row>
    <row r="21" spans="1:11" s="96" customFormat="1" ht="31.5" customHeight="1">
      <c r="A21" s="95"/>
      <c r="B21" s="236" t="str">
        <f>"The Group's strategy is to maintain a gearing ratio of 30% to 50%. This has remained unchanged from the previous financial year. The gearing ratios as at "&amp;SCI!G5&amp;" and "&amp;SFP!F4&amp;", are within the Group's objectives for capital management, which are as follows:"</f>
        <v>The Group's strategy is to maintain a gearing ratio of 30% to 50%. This has remained unchanged from the previous financial year. The gearing ratios as at 30/06/2011 and 31/12/2010, are within the Group's objectives for capital management, which are as follows:</v>
      </c>
      <c r="C21" s="236"/>
      <c r="D21" s="236"/>
      <c r="E21" s="236"/>
      <c r="F21" s="236"/>
      <c r="G21" s="236"/>
      <c r="H21" s="236"/>
      <c r="I21" s="236"/>
      <c r="J21" s="236"/>
      <c r="K21" s="236"/>
    </row>
    <row r="22" spans="1:11" s="100" customFormat="1" ht="10.5">
      <c r="A22" s="98"/>
      <c r="B22" s="99"/>
      <c r="C22" s="98"/>
      <c r="D22" s="98"/>
      <c r="E22" s="98"/>
      <c r="F22" s="98"/>
      <c r="G22" s="123" t="str">
        <f>SFP!D4</f>
        <v>30/06/2011</v>
      </c>
      <c r="H22" s="98"/>
      <c r="I22" s="123" t="str">
        <f>SFP!F4</f>
        <v>31/12/2010</v>
      </c>
      <c r="J22" s="98"/>
      <c r="K22" s="98"/>
    </row>
    <row r="23" spans="1:11" s="100" customFormat="1" ht="10.5">
      <c r="A23" s="98"/>
      <c r="B23" s="98"/>
      <c r="C23" s="98"/>
      <c r="D23" s="98"/>
      <c r="E23" s="98"/>
      <c r="F23" s="98"/>
      <c r="G23" s="129" t="s">
        <v>1</v>
      </c>
      <c r="H23" s="98"/>
      <c r="I23" s="129" t="s">
        <v>1</v>
      </c>
      <c r="J23" s="98"/>
      <c r="K23" s="98"/>
    </row>
    <row r="24" spans="1:11" s="100" customFormat="1" ht="15" customHeight="1">
      <c r="A24" s="98"/>
      <c r="B24" s="31" t="s">
        <v>129</v>
      </c>
      <c r="C24" s="98"/>
      <c r="D24" s="98"/>
      <c r="E24" s="98"/>
      <c r="F24" s="98"/>
      <c r="G24" s="103">
        <f>SFP!D30+SFP!D31+SFP!D26+SFP!D27</f>
        <v>21431</v>
      </c>
      <c r="H24" s="98"/>
      <c r="I24" s="103">
        <f>SFP!F30+SFP!F31+SFP!F26+SFP!F27</f>
        <v>29505</v>
      </c>
      <c r="J24" s="98"/>
      <c r="K24" s="98"/>
    </row>
    <row r="25" spans="1:11" s="100" customFormat="1" ht="15" customHeight="1">
      <c r="A25" s="98"/>
      <c r="B25" s="31" t="s">
        <v>124</v>
      </c>
      <c r="C25" s="98"/>
      <c r="D25" s="98"/>
      <c r="E25" s="98"/>
      <c r="F25" s="98"/>
      <c r="G25" s="103">
        <f>SFP!D43</f>
        <v>59473</v>
      </c>
      <c r="H25" s="98"/>
      <c r="I25" s="103">
        <f>SFP!F43</f>
        <v>49822</v>
      </c>
      <c r="J25" s="98"/>
      <c r="K25" s="98"/>
    </row>
    <row r="26" spans="1:11" s="100" customFormat="1" ht="15" customHeight="1" thickBot="1">
      <c r="A26" s="98"/>
      <c r="B26" s="46" t="s">
        <v>125</v>
      </c>
      <c r="C26" s="98"/>
      <c r="D26" s="98"/>
      <c r="E26" s="98"/>
      <c r="F26" s="98"/>
      <c r="G26" s="128">
        <f>SUM(G24:G25)</f>
        <v>80904</v>
      </c>
      <c r="H26" s="98"/>
      <c r="I26" s="128">
        <f>SUM(I24:I25)</f>
        <v>79327</v>
      </c>
      <c r="J26" s="98"/>
      <c r="K26" s="98"/>
    </row>
    <row r="27" spans="1:11" s="100" customFormat="1" ht="15" customHeight="1" thickTop="1">
      <c r="A27" s="98"/>
      <c r="B27" s="101" t="s">
        <v>126</v>
      </c>
      <c r="C27" s="98"/>
      <c r="D27" s="98"/>
      <c r="E27" s="98"/>
      <c r="F27" s="98"/>
      <c r="G27" s="102">
        <f>G24/G26</f>
        <v>0.26489419558983485</v>
      </c>
      <c r="H27" s="98"/>
      <c r="I27" s="102">
        <f>I24/I26</f>
        <v>0.3719414575113139</v>
      </c>
      <c r="J27" s="98"/>
      <c r="K27" s="98"/>
    </row>
    <row r="28" spans="1:11" s="96" customFormat="1" ht="15" customHeight="1">
      <c r="A28" s="95"/>
      <c r="B28" s="95"/>
      <c r="C28" s="95"/>
      <c r="D28" s="95"/>
      <c r="E28" s="95"/>
      <c r="F28" s="95"/>
      <c r="G28" s="95"/>
      <c r="H28" s="95"/>
      <c r="I28" s="95"/>
      <c r="J28" s="95"/>
      <c r="K28" s="95"/>
    </row>
    <row r="29" spans="1:11" s="96" customFormat="1" ht="31.5" customHeight="1">
      <c r="A29" s="95"/>
      <c r="B29" s="236" t="str">
        <f>"The decrease in the gearing ratio in the current quarter ended "&amp;SCI!G5&amp;" was primarily due to the increase in issued share capital and comprehensive income. The details of the issuance of equity instrument and repayment of debts in the current quarter are as follows:"</f>
        <v>The decrease in the gearing ratio in the current quarter ended 30/06/2011 was primarily due to the increase in issued share capital and comprehensive income. The details of the issuance of equity instrument and repayment of debts in the current quarter are as follows:</v>
      </c>
      <c r="C29" s="236"/>
      <c r="D29" s="236"/>
      <c r="E29" s="236"/>
      <c r="F29" s="236"/>
      <c r="G29" s="236"/>
      <c r="H29" s="236"/>
      <c r="I29" s="236"/>
      <c r="J29" s="236"/>
      <c r="K29" s="236"/>
    </row>
    <row r="30" spans="1:11" s="96" customFormat="1" ht="10.5">
      <c r="A30" s="95"/>
      <c r="B30" s="95"/>
      <c r="C30" s="95"/>
      <c r="D30" s="95"/>
      <c r="E30" s="95"/>
      <c r="F30" s="95"/>
      <c r="G30" s="95"/>
      <c r="H30" s="95"/>
      <c r="I30" s="95" t="str">
        <f>SFP!D4</f>
        <v>30/06/2011</v>
      </c>
      <c r="J30" s="95"/>
      <c r="K30" s="95"/>
    </row>
    <row r="31" spans="1:11" s="96" customFormat="1" ht="10.5">
      <c r="A31" s="95"/>
      <c r="B31" s="95"/>
      <c r="C31" s="95"/>
      <c r="D31" s="95"/>
      <c r="E31" s="95"/>
      <c r="F31" s="95"/>
      <c r="G31" s="95"/>
      <c r="H31" s="95"/>
      <c r="I31" s="129" t="s">
        <v>1</v>
      </c>
      <c r="J31" s="95"/>
      <c r="K31" s="95"/>
    </row>
    <row r="32" spans="1:11" s="96" customFormat="1" ht="15" customHeight="1">
      <c r="A32" s="95"/>
      <c r="B32" s="238" t="s">
        <v>271</v>
      </c>
      <c r="C32" s="238"/>
      <c r="D32" s="238"/>
      <c r="E32" s="238"/>
      <c r="F32" s="238"/>
      <c r="G32" s="238"/>
      <c r="H32" s="238"/>
      <c r="I32" s="149">
        <f>ROUND(20124*0.57,0)</f>
        <v>11471</v>
      </c>
      <c r="J32" s="148"/>
      <c r="K32" s="148"/>
    </row>
    <row r="33" spans="1:11" s="96" customFormat="1" ht="15" customHeight="1">
      <c r="A33" s="95"/>
      <c r="B33" s="238" t="s">
        <v>216</v>
      </c>
      <c r="C33" s="238"/>
      <c r="D33" s="238"/>
      <c r="E33" s="238"/>
      <c r="F33" s="238"/>
      <c r="G33" s="238"/>
      <c r="H33" s="238"/>
      <c r="I33" s="149">
        <f>G24-I24</f>
        <v>-8074</v>
      </c>
      <c r="J33" s="95"/>
      <c r="K33" s="95"/>
    </row>
    <row r="34" spans="1:11" s="96" customFormat="1" ht="15" customHeight="1">
      <c r="A34" s="95"/>
      <c r="B34" s="95"/>
      <c r="C34" s="95"/>
      <c r="D34" s="95"/>
      <c r="E34" s="95"/>
      <c r="F34" s="95"/>
      <c r="G34" s="95"/>
      <c r="H34" s="95"/>
      <c r="I34" s="95"/>
      <c r="J34" s="95"/>
      <c r="K34" s="95"/>
    </row>
    <row r="35" spans="1:11" s="96" customFormat="1" ht="15" customHeight="1">
      <c r="A35" s="94" t="str">
        <f>"A"&amp;MID(A19,2,1)+1&amp;"."</f>
        <v>A6.</v>
      </c>
      <c r="B35" s="97" t="s">
        <v>127</v>
      </c>
      <c r="C35" s="95"/>
      <c r="D35" s="95"/>
      <c r="E35" s="95"/>
      <c r="F35" s="95"/>
      <c r="G35" s="95"/>
      <c r="H35" s="95"/>
      <c r="I35" s="95"/>
      <c r="J35" s="95"/>
      <c r="K35" s="95"/>
    </row>
    <row r="36" spans="1:11" s="96" customFormat="1" ht="10.5">
      <c r="A36" s="95"/>
      <c r="B36" s="82"/>
      <c r="C36" s="95"/>
      <c r="D36" s="95"/>
      <c r="E36" s="95"/>
      <c r="F36" s="95"/>
      <c r="G36" s="95"/>
      <c r="H36" s="104" t="s">
        <v>157</v>
      </c>
      <c r="I36" s="95"/>
      <c r="J36" s="104" t="s">
        <v>114</v>
      </c>
      <c r="K36" s="95"/>
    </row>
    <row r="37" spans="1:11" s="96" customFormat="1" ht="10.5">
      <c r="A37" s="95"/>
      <c r="B37" s="82"/>
      <c r="C37" s="95"/>
      <c r="D37" s="95"/>
      <c r="E37" s="95"/>
      <c r="F37" s="95"/>
      <c r="G37" s="95"/>
      <c r="H37" s="104" t="s">
        <v>158</v>
      </c>
      <c r="I37" s="95"/>
      <c r="J37" s="104" t="str">
        <f>SCI!G4</f>
        <v>6 months ended </v>
      </c>
      <c r="K37" s="95"/>
    </row>
    <row r="38" spans="1:11" s="96" customFormat="1" ht="10.5">
      <c r="A38" s="95"/>
      <c r="B38" s="95"/>
      <c r="C38" s="95"/>
      <c r="D38" s="95"/>
      <c r="E38" s="95"/>
      <c r="F38" s="95"/>
      <c r="G38" s="95"/>
      <c r="H38" s="122" t="str">
        <f>SCI!D5</f>
        <v>30/06/2011</v>
      </c>
      <c r="I38" s="95"/>
      <c r="J38" s="123" t="str">
        <f>SCI!G5</f>
        <v>30/06/2011</v>
      </c>
      <c r="K38" s="95"/>
    </row>
    <row r="39" spans="1:11" s="96" customFormat="1" ht="10.5">
      <c r="A39" s="95"/>
      <c r="B39" s="31" t="s">
        <v>232</v>
      </c>
      <c r="C39" s="95"/>
      <c r="D39" s="95"/>
      <c r="E39" s="95"/>
      <c r="F39" s="95"/>
      <c r="G39" s="95"/>
      <c r="H39" s="129" t="s">
        <v>1</v>
      </c>
      <c r="I39" s="98"/>
      <c r="J39" s="129" t="s">
        <v>1</v>
      </c>
      <c r="K39" s="95"/>
    </row>
    <row r="40" spans="1:11" s="96" customFormat="1" ht="15" customHeight="1">
      <c r="A40" s="95"/>
      <c r="B40" s="31" t="str">
        <f>"Financial year ended "&amp;SFP!F4</f>
        <v>Financial year ended 31/12/2010</v>
      </c>
      <c r="C40" s="148"/>
      <c r="D40" s="148"/>
      <c r="E40" s="148"/>
      <c r="F40" s="148"/>
      <c r="G40" s="148"/>
      <c r="H40" s="148"/>
      <c r="I40" s="148"/>
      <c r="J40" s="148"/>
      <c r="K40" s="148"/>
    </row>
    <row r="41" spans="1:11" s="96" customFormat="1" ht="15" customHeight="1" thickBot="1">
      <c r="A41" s="95"/>
      <c r="B41" s="134" t="s">
        <v>247</v>
      </c>
      <c r="C41" s="148"/>
      <c r="D41" s="148"/>
      <c r="E41" s="148"/>
      <c r="F41" s="148"/>
      <c r="G41" s="148"/>
      <c r="H41" s="195">
        <v>2880</v>
      </c>
      <c r="I41" s="148"/>
      <c r="J41" s="196">
        <f>H41</f>
        <v>2880</v>
      </c>
      <c r="K41" s="148"/>
    </row>
    <row r="42" spans="1:11" s="96" customFormat="1" ht="15" customHeight="1" thickTop="1">
      <c r="A42" s="95"/>
      <c r="B42" s="95"/>
      <c r="C42" s="95"/>
      <c r="D42" s="95"/>
      <c r="E42" s="95"/>
      <c r="F42" s="95"/>
      <c r="G42" s="95"/>
      <c r="H42" s="95"/>
      <c r="I42" s="95"/>
      <c r="J42" s="95"/>
      <c r="K42" s="95"/>
    </row>
    <row r="43" spans="1:11" s="96" customFormat="1" ht="15" customHeight="1">
      <c r="A43" s="94" t="str">
        <f>"A"&amp;MID(A35,2,1)+1&amp;"."</f>
        <v>A7.</v>
      </c>
      <c r="B43" s="97" t="s">
        <v>128</v>
      </c>
      <c r="C43" s="95"/>
      <c r="D43" s="95"/>
      <c r="E43" s="95"/>
      <c r="F43" s="95"/>
      <c r="G43" s="95"/>
      <c r="H43" s="95"/>
      <c r="I43" s="95"/>
      <c r="J43" s="95"/>
      <c r="K43" s="95"/>
    </row>
    <row r="44" spans="1:11" s="96" customFormat="1" ht="147" customHeight="1">
      <c r="A44" s="95"/>
      <c r="B44" s="236" t="s">
        <v>246</v>
      </c>
      <c r="C44" s="236"/>
      <c r="D44" s="236"/>
      <c r="E44" s="236"/>
      <c r="F44" s="236"/>
      <c r="G44" s="236"/>
      <c r="H44" s="236"/>
      <c r="I44" s="236"/>
      <c r="J44" s="236"/>
      <c r="K44" s="236"/>
    </row>
    <row r="45" spans="1:11" s="96" customFormat="1" ht="34.5" customHeight="1">
      <c r="A45" s="95"/>
      <c r="B45" s="165"/>
      <c r="C45" s="166"/>
      <c r="D45" s="166"/>
      <c r="E45" s="166"/>
      <c r="F45" s="167"/>
      <c r="G45" s="168" t="s">
        <v>219</v>
      </c>
      <c r="H45" s="168" t="s">
        <v>222</v>
      </c>
      <c r="I45" s="168" t="s">
        <v>220</v>
      </c>
      <c r="J45" s="225" t="s">
        <v>46</v>
      </c>
      <c r="K45" s="95"/>
    </row>
    <row r="46" spans="1:11" s="96" customFormat="1" ht="10.5">
      <c r="A46" s="95"/>
      <c r="B46" s="158" t="str">
        <f>SCI!G4&amp;SCI!G5</f>
        <v>6 months ended 30/06/2011</v>
      </c>
      <c r="C46" s="132"/>
      <c r="D46" s="132"/>
      <c r="E46" s="132"/>
      <c r="F46" s="159"/>
      <c r="G46" s="152" t="s">
        <v>1</v>
      </c>
      <c r="H46" s="152" t="s">
        <v>1</v>
      </c>
      <c r="I46" s="152" t="s">
        <v>1</v>
      </c>
      <c r="J46" s="152" t="s">
        <v>1</v>
      </c>
      <c r="K46" s="95"/>
    </row>
    <row r="47" spans="1:12" s="96" customFormat="1" ht="15" customHeight="1">
      <c r="A47" s="95"/>
      <c r="B47" s="160" t="s">
        <v>217</v>
      </c>
      <c r="C47" s="132"/>
      <c r="D47" s="132"/>
      <c r="E47" s="132"/>
      <c r="F47" s="159"/>
      <c r="G47" s="153">
        <f>6800+6255</f>
        <v>13055</v>
      </c>
      <c r="H47" s="153">
        <f>7229+7405</f>
        <v>14634</v>
      </c>
      <c r="I47" s="153">
        <f>2578+5+3265</f>
        <v>5848</v>
      </c>
      <c r="J47" s="153">
        <f>SUM(G47:I47)</f>
        <v>33537</v>
      </c>
      <c r="K47" s="95"/>
      <c r="L47" s="150">
        <f>J47-SCI!G8</f>
        <v>0</v>
      </c>
    </row>
    <row r="48" spans="1:11" s="96" customFormat="1" ht="15" customHeight="1" hidden="1">
      <c r="A48" s="95"/>
      <c r="B48" s="160" t="s">
        <v>218</v>
      </c>
      <c r="C48" s="132"/>
      <c r="D48" s="132"/>
      <c r="E48" s="132"/>
      <c r="F48" s="159"/>
      <c r="G48" s="154">
        <v>0</v>
      </c>
      <c r="H48" s="154">
        <v>0</v>
      </c>
      <c r="I48" s="154">
        <v>0</v>
      </c>
      <c r="J48" s="154">
        <f>SUM(G48:I48)</f>
        <v>0</v>
      </c>
      <c r="K48" s="95"/>
    </row>
    <row r="49" spans="1:12" s="96" customFormat="1" ht="15" customHeight="1">
      <c r="A49" s="95"/>
      <c r="B49" s="160" t="s">
        <v>221</v>
      </c>
      <c r="C49" s="132"/>
      <c r="D49" s="132"/>
      <c r="E49" s="132"/>
      <c r="F49" s="159"/>
      <c r="G49" s="153">
        <f>977+848+2</f>
        <v>1827</v>
      </c>
      <c r="H49" s="153">
        <f>1380+1507</f>
        <v>2887</v>
      </c>
      <c r="I49" s="156">
        <f>506+5+491</f>
        <v>1002</v>
      </c>
      <c r="J49" s="153">
        <f>SUM(G49:I49)</f>
        <v>5716</v>
      </c>
      <c r="K49" s="95"/>
      <c r="L49" s="150">
        <f>J49-SCI!G11</f>
        <v>0</v>
      </c>
    </row>
    <row r="50" spans="1:11" s="96" customFormat="1" ht="10.5">
      <c r="A50" s="95"/>
      <c r="B50" s="160"/>
      <c r="C50" s="132"/>
      <c r="D50" s="132"/>
      <c r="E50" s="132"/>
      <c r="F50" s="159"/>
      <c r="G50" s="223"/>
      <c r="H50" s="223"/>
      <c r="I50" s="223"/>
      <c r="J50" s="223"/>
      <c r="K50" s="95"/>
    </row>
    <row r="51" spans="1:11" s="96" customFormat="1" ht="10.5">
      <c r="A51" s="95"/>
      <c r="B51" s="158" t="str">
        <f>SCI!G4&amp;LEFT(SCI!G5,6)&amp;RIGHT(SCI!G5,4)-1</f>
        <v>6 months ended 30/06/2010</v>
      </c>
      <c r="C51" s="132"/>
      <c r="D51" s="161"/>
      <c r="E51" s="132"/>
      <c r="F51" s="159"/>
      <c r="G51" s="152"/>
      <c r="H51" s="152"/>
      <c r="I51" s="152"/>
      <c r="J51" s="152"/>
      <c r="K51" s="95"/>
    </row>
    <row r="52" spans="1:12" s="96" customFormat="1" ht="15" customHeight="1">
      <c r="A52" s="95"/>
      <c r="B52" s="160" t="s">
        <v>217</v>
      </c>
      <c r="C52" s="132"/>
      <c r="D52" s="132"/>
      <c r="E52" s="132"/>
      <c r="F52" s="159"/>
      <c r="G52" s="153">
        <f>6106+7090</f>
        <v>13196</v>
      </c>
      <c r="H52" s="153">
        <f>8389+9172</f>
        <v>17561</v>
      </c>
      <c r="I52" s="153">
        <f>1041+6+1548</f>
        <v>2595</v>
      </c>
      <c r="J52" s="153">
        <f>SUM(G52:I52)</f>
        <v>33352</v>
      </c>
      <c r="K52" s="95"/>
      <c r="L52" s="150">
        <f>J52-SCI!H8</f>
        <v>0</v>
      </c>
    </row>
    <row r="53" spans="1:12" s="96" customFormat="1" ht="15" customHeight="1" hidden="1">
      <c r="A53" s="95"/>
      <c r="B53" s="160" t="s">
        <v>218</v>
      </c>
      <c r="C53" s="132"/>
      <c r="D53" s="132"/>
      <c r="E53" s="132"/>
      <c r="F53" s="159"/>
      <c r="G53" s="154">
        <v>0</v>
      </c>
      <c r="H53" s="154">
        <v>0</v>
      </c>
      <c r="I53" s="154">
        <v>0</v>
      </c>
      <c r="J53" s="154">
        <f>SUM(G53:I53)</f>
        <v>0</v>
      </c>
      <c r="K53" s="95"/>
      <c r="L53" s="151"/>
    </row>
    <row r="54" spans="1:12" s="96" customFormat="1" ht="15" customHeight="1">
      <c r="A54" s="95"/>
      <c r="B54" s="162" t="s">
        <v>221</v>
      </c>
      <c r="C54" s="163"/>
      <c r="D54" s="163"/>
      <c r="E54" s="163"/>
      <c r="F54" s="164"/>
      <c r="G54" s="155">
        <f>907+1168</f>
        <v>2075</v>
      </c>
      <c r="H54" s="155">
        <f>1743+2060</f>
        <v>3803</v>
      </c>
      <c r="I54" s="157">
        <f>310+6+402</f>
        <v>718</v>
      </c>
      <c r="J54" s="155">
        <f>SUM(G54:I54)</f>
        <v>6596</v>
      </c>
      <c r="K54" s="95"/>
      <c r="L54" s="150">
        <f>J54-SCI!H11</f>
        <v>0</v>
      </c>
    </row>
    <row r="55" spans="1:12" s="96" customFormat="1" ht="15" customHeight="1">
      <c r="A55" s="95"/>
      <c r="B55" s="124"/>
      <c r="C55" s="98"/>
      <c r="D55" s="98"/>
      <c r="E55" s="98"/>
      <c r="F55" s="98"/>
      <c r="G55" s="224"/>
      <c r="H55" s="224"/>
      <c r="I55" s="224"/>
      <c r="J55" s="224"/>
      <c r="K55" s="95"/>
      <c r="L55" s="151"/>
    </row>
    <row r="56" spans="1:11" s="96" customFormat="1" ht="15" customHeight="1">
      <c r="A56" s="94" t="str">
        <f>"A"&amp;MID(A43,2,1)+1&amp;"."</f>
        <v>A8.</v>
      </c>
      <c r="B56" s="97" t="s">
        <v>130</v>
      </c>
      <c r="C56" s="95"/>
      <c r="D56" s="95"/>
      <c r="E56" s="95"/>
      <c r="F56" s="95"/>
      <c r="G56" s="95"/>
      <c r="H56" s="95"/>
      <c r="I56" s="95"/>
      <c r="J56" s="95"/>
      <c r="K56" s="95"/>
    </row>
    <row r="57" spans="1:11" s="96" customFormat="1" ht="22.5" customHeight="1">
      <c r="A57" s="95"/>
      <c r="B57" s="236" t="str">
        <f>"There were no material events subsequent to the end of the interim period that have not been reflected the Group during the current quarter ended "&amp;SCI!G5&amp;"."</f>
        <v>There were no material events subsequent to the end of the interim period that have not been reflected the Group during the current quarter ended 30/06/2011.</v>
      </c>
      <c r="C57" s="236"/>
      <c r="D57" s="236"/>
      <c r="E57" s="236"/>
      <c r="F57" s="236"/>
      <c r="G57" s="236"/>
      <c r="H57" s="236"/>
      <c r="I57" s="236"/>
      <c r="J57" s="236"/>
      <c r="K57" s="236"/>
    </row>
    <row r="58" spans="1:11" s="96" customFormat="1" ht="15" customHeight="1">
      <c r="A58" s="95"/>
      <c r="B58" s="95"/>
      <c r="C58" s="95"/>
      <c r="D58" s="95"/>
      <c r="E58" s="95"/>
      <c r="F58" s="95"/>
      <c r="G58" s="95"/>
      <c r="H58" s="95"/>
      <c r="I58" s="95"/>
      <c r="J58" s="95"/>
      <c r="K58" s="95"/>
    </row>
    <row r="59" spans="1:11" s="96" customFormat="1" ht="15" customHeight="1">
      <c r="A59" s="94" t="str">
        <f>"A"&amp;MID(A56,2,1)+1&amp;"."</f>
        <v>A9.</v>
      </c>
      <c r="B59" s="97" t="s">
        <v>148</v>
      </c>
      <c r="C59" s="95"/>
      <c r="D59" s="95"/>
      <c r="E59" s="95"/>
      <c r="F59" s="95"/>
      <c r="G59" s="95"/>
      <c r="H59" s="95"/>
      <c r="I59" s="95"/>
      <c r="J59" s="95"/>
      <c r="K59" s="95"/>
    </row>
    <row r="60" spans="1:11" s="96" customFormat="1" ht="15" customHeight="1">
      <c r="A60" s="95"/>
      <c r="B60" s="236" t="str">
        <f>"There were no effects of changes in the compositon of the Group during the current quarter ended "&amp;SCI!G5&amp;"."</f>
        <v>There were no effects of changes in the compositon of the Group during the current quarter ended 30/06/2011.</v>
      </c>
      <c r="C60" s="236"/>
      <c r="D60" s="236"/>
      <c r="E60" s="236"/>
      <c r="F60" s="236"/>
      <c r="G60" s="236"/>
      <c r="H60" s="236"/>
      <c r="I60" s="236"/>
      <c r="J60" s="236"/>
      <c r="K60" s="236"/>
    </row>
    <row r="61" spans="1:11" s="96" customFormat="1" ht="15" customHeight="1">
      <c r="A61" s="95"/>
      <c r="B61" s="95"/>
      <c r="C61" s="95"/>
      <c r="D61" s="95"/>
      <c r="E61" s="95"/>
      <c r="F61" s="95"/>
      <c r="G61" s="95"/>
      <c r="H61" s="95"/>
      <c r="I61" s="95"/>
      <c r="J61" s="95"/>
      <c r="K61" s="95"/>
    </row>
    <row r="62" spans="1:11" s="96" customFormat="1" ht="15" customHeight="1">
      <c r="A62" s="94" t="str">
        <f>"A"&amp;MID(A59,2,1)+1&amp;"."</f>
        <v>A10.</v>
      </c>
      <c r="B62" s="97" t="s">
        <v>131</v>
      </c>
      <c r="C62" s="95"/>
      <c r="D62" s="95"/>
      <c r="E62" s="95"/>
      <c r="F62" s="95"/>
      <c r="G62" s="95"/>
      <c r="H62" s="95"/>
      <c r="I62" s="95"/>
      <c r="J62" s="95"/>
      <c r="K62" s="95"/>
    </row>
    <row r="63" spans="1:11" s="96" customFormat="1" ht="22.5" customHeight="1">
      <c r="A63" s="95"/>
      <c r="B63" s="236" t="s">
        <v>149</v>
      </c>
      <c r="C63" s="236"/>
      <c r="D63" s="236"/>
      <c r="E63" s="236"/>
      <c r="F63" s="236"/>
      <c r="G63" s="236"/>
      <c r="H63" s="236"/>
      <c r="I63" s="236"/>
      <c r="J63" s="236"/>
      <c r="K63" s="236"/>
    </row>
    <row r="64" spans="1:11" s="96" customFormat="1" ht="15" customHeight="1">
      <c r="A64" s="95"/>
      <c r="B64" s="95"/>
      <c r="C64" s="95"/>
      <c r="D64" s="95"/>
      <c r="E64" s="95"/>
      <c r="F64" s="95"/>
      <c r="G64" s="95"/>
      <c r="H64" s="95"/>
      <c r="I64" s="95"/>
      <c r="J64" s="95"/>
      <c r="K64" s="95"/>
    </row>
    <row r="65" spans="1:11" s="96" customFormat="1" ht="15" customHeight="1">
      <c r="A65" s="94" t="str">
        <f>"A"&amp;MID(A62,2,2)+1&amp;"."</f>
        <v>A11.</v>
      </c>
      <c r="B65" s="97" t="s">
        <v>132</v>
      </c>
      <c r="C65" s="95"/>
      <c r="D65" s="95"/>
      <c r="E65" s="95"/>
      <c r="F65" s="95"/>
      <c r="G65" s="95"/>
      <c r="H65" s="95"/>
      <c r="I65" s="95"/>
      <c r="J65" s="95"/>
      <c r="K65" s="95"/>
    </row>
    <row r="66" spans="1:11" s="96" customFormat="1" ht="15" customHeight="1">
      <c r="A66" s="95"/>
      <c r="B66" s="236" t="str">
        <f>"Authorised capital commitments not recognised in the interim financial statement as at "&amp;SCI!G5&amp;"are as follows:"</f>
        <v>Authorised capital commitments not recognised in the interim financial statement as at 30/06/2011are as follows:</v>
      </c>
      <c r="C66" s="236"/>
      <c r="D66" s="236"/>
      <c r="E66" s="236"/>
      <c r="F66" s="236"/>
      <c r="G66" s="236"/>
      <c r="H66" s="236"/>
      <c r="I66" s="236"/>
      <c r="J66" s="236"/>
      <c r="K66" s="236"/>
    </row>
    <row r="67" spans="1:11" s="100" customFormat="1" ht="10.5">
      <c r="A67" s="98"/>
      <c r="B67" s="98"/>
      <c r="C67" s="98"/>
      <c r="D67" s="98"/>
      <c r="E67" s="98"/>
      <c r="F67" s="98"/>
      <c r="G67" s="98"/>
      <c r="H67" s="98"/>
      <c r="I67" s="129" t="s">
        <v>1</v>
      </c>
      <c r="J67" s="98"/>
      <c r="K67" s="98"/>
    </row>
    <row r="68" spans="1:11" s="100" customFormat="1" ht="15" customHeight="1">
      <c r="A68" s="98"/>
      <c r="B68" s="31" t="s">
        <v>233</v>
      </c>
      <c r="C68" s="98"/>
      <c r="D68" s="98"/>
      <c r="E68" s="98"/>
      <c r="F68" s="98"/>
      <c r="G68" s="98"/>
      <c r="H68" s="98"/>
      <c r="I68" s="197">
        <f>I72</f>
        <v>811</v>
      </c>
      <c r="J68" s="98"/>
      <c r="K68" s="98"/>
    </row>
    <row r="69" spans="1:11" s="100" customFormat="1" ht="15" customHeight="1">
      <c r="A69" s="98"/>
      <c r="B69" s="31" t="s">
        <v>234</v>
      </c>
      <c r="C69" s="98"/>
      <c r="D69" s="98"/>
      <c r="E69" s="98"/>
      <c r="F69" s="98"/>
      <c r="G69" s="98"/>
      <c r="H69" s="98"/>
      <c r="I69" s="115">
        <v>0</v>
      </c>
      <c r="J69" s="98"/>
      <c r="K69" s="98"/>
    </row>
    <row r="70" spans="1:11" s="100" customFormat="1" ht="15" customHeight="1" thickBot="1">
      <c r="A70" s="98"/>
      <c r="B70" s="98"/>
      <c r="C70" s="98"/>
      <c r="D70" s="98"/>
      <c r="E70" s="98"/>
      <c r="F70" s="98"/>
      <c r="G70" s="98"/>
      <c r="H70" s="98"/>
      <c r="I70" s="126">
        <f>SUM(I68:I69)</f>
        <v>811</v>
      </c>
      <c r="J70" s="98"/>
      <c r="K70" s="98"/>
    </row>
    <row r="71" spans="1:11" s="100" customFormat="1" ht="15" customHeight="1" thickTop="1">
      <c r="A71" s="98"/>
      <c r="B71" s="31" t="s">
        <v>133</v>
      </c>
      <c r="C71" s="98"/>
      <c r="D71" s="98"/>
      <c r="E71" s="98"/>
      <c r="F71" s="98"/>
      <c r="G71" s="98"/>
      <c r="H71" s="98"/>
      <c r="I71" s="31"/>
      <c r="J71" s="98"/>
      <c r="K71" s="98"/>
    </row>
    <row r="72" spans="1:11" s="100" customFormat="1" ht="15" customHeight="1" thickBot="1">
      <c r="A72" s="98"/>
      <c r="B72" s="124" t="s">
        <v>235</v>
      </c>
      <c r="C72" s="124"/>
      <c r="D72" s="124"/>
      <c r="E72" s="124"/>
      <c r="F72" s="124"/>
      <c r="G72" s="124"/>
      <c r="H72" s="124"/>
      <c r="I72" s="127">
        <f>ROUND(((122000+146400)*3.0215)/1000,0)</f>
        <v>811</v>
      </c>
      <c r="J72" s="98"/>
      <c r="K72" s="98"/>
    </row>
    <row r="73" spans="1:11" s="96" customFormat="1" ht="15" customHeight="1" thickTop="1">
      <c r="A73" s="95"/>
      <c r="B73" s="95"/>
      <c r="C73" s="95"/>
      <c r="D73" s="95"/>
      <c r="E73" s="95"/>
      <c r="F73" s="95"/>
      <c r="G73" s="95"/>
      <c r="H73" s="95"/>
      <c r="I73" s="95"/>
      <c r="J73" s="95"/>
      <c r="K73" s="95"/>
    </row>
    <row r="74" spans="1:11" s="96" customFormat="1" ht="15" customHeight="1">
      <c r="A74" s="94" t="str">
        <f>"A"&amp;MID(A65,2,2)+1&amp;"."</f>
        <v>A12.</v>
      </c>
      <c r="B74" s="97" t="s">
        <v>134</v>
      </c>
      <c r="C74" s="95"/>
      <c r="D74" s="95"/>
      <c r="E74" s="95"/>
      <c r="F74" s="95"/>
      <c r="G74" s="95"/>
      <c r="H74" s="95"/>
      <c r="I74" s="95"/>
      <c r="J74" s="95"/>
      <c r="K74" s="95"/>
    </row>
    <row r="75" spans="1:11" s="96" customFormat="1" ht="21" customHeight="1">
      <c r="A75" s="95"/>
      <c r="B75" s="236" t="str">
        <f>"The Group's related party transactons in the current quarter and the cumulative period to date ended "&amp;SCI!G5&amp;" are as follows:"</f>
        <v>The Group's related party transactons in the current quarter and the cumulative period to date ended 30/06/2011 are as follows:</v>
      </c>
      <c r="C75" s="236"/>
      <c r="D75" s="236"/>
      <c r="E75" s="236"/>
      <c r="F75" s="236"/>
      <c r="G75" s="236"/>
      <c r="H75" s="236"/>
      <c r="I75" s="236"/>
      <c r="J75" s="236"/>
      <c r="K75" s="236"/>
    </row>
    <row r="76" spans="1:11" s="96" customFormat="1" ht="31.5">
      <c r="A76" s="95"/>
      <c r="B76" s="181" t="s">
        <v>137</v>
      </c>
      <c r="C76" s="190"/>
      <c r="D76" s="191"/>
      <c r="E76" s="191"/>
      <c r="F76" s="191"/>
      <c r="G76" s="109" t="s">
        <v>136</v>
      </c>
      <c r="H76" s="109" t="s">
        <v>39</v>
      </c>
      <c r="I76" s="109" t="s">
        <v>135</v>
      </c>
      <c r="J76" s="95"/>
      <c r="K76" s="105"/>
    </row>
    <row r="77" spans="1:11" s="96" customFormat="1" ht="10.5">
      <c r="A77" s="95"/>
      <c r="B77" s="185" t="s">
        <v>147</v>
      </c>
      <c r="C77" s="106"/>
      <c r="D77" s="106"/>
      <c r="E77" s="106"/>
      <c r="F77" s="106"/>
      <c r="G77" s="186" t="s">
        <v>1</v>
      </c>
      <c r="H77" s="186" t="s">
        <v>1</v>
      </c>
      <c r="I77" s="186" t="s">
        <v>1</v>
      </c>
      <c r="J77" s="95"/>
      <c r="K77" s="95"/>
    </row>
    <row r="78" spans="1:11" s="96" customFormat="1" ht="15" customHeight="1">
      <c r="A78" s="95"/>
      <c r="B78" s="187" t="s">
        <v>144</v>
      </c>
      <c r="C78" s="106"/>
      <c r="D78" s="106"/>
      <c r="E78" s="106"/>
      <c r="F78" s="106"/>
      <c r="G78" s="112" t="s">
        <v>145</v>
      </c>
      <c r="H78" s="188" t="s">
        <v>145</v>
      </c>
      <c r="I78" s="112" t="s">
        <v>145</v>
      </c>
      <c r="J78" s="106"/>
      <c r="K78" s="106"/>
    </row>
    <row r="79" spans="1:11" s="96" customFormat="1" ht="15" customHeight="1">
      <c r="A79" s="95"/>
      <c r="B79" s="187" t="s">
        <v>138</v>
      </c>
      <c r="C79" s="106"/>
      <c r="D79" s="106"/>
      <c r="E79" s="106"/>
      <c r="F79" s="106"/>
      <c r="G79" s="198">
        <f>ROUND((239730.23+1465673.59)/1000,0)</f>
        <v>1705</v>
      </c>
      <c r="H79" s="198" t="s">
        <v>145</v>
      </c>
      <c r="I79" s="198">
        <f>SUM(G79:H79)</f>
        <v>1705</v>
      </c>
      <c r="J79" s="106"/>
      <c r="K79" s="106"/>
    </row>
    <row r="80" spans="1:11" s="96" customFormat="1" ht="15" customHeight="1" thickBot="1">
      <c r="A80" s="95"/>
      <c r="B80" s="110" t="s">
        <v>146</v>
      </c>
      <c r="C80" s="106"/>
      <c r="D80" s="106"/>
      <c r="E80" s="106"/>
      <c r="F80" s="106"/>
      <c r="G80" s="128">
        <f>SUM(G78:G79)</f>
        <v>1705</v>
      </c>
      <c r="H80" s="128" t="s">
        <v>145</v>
      </c>
      <c r="I80" s="128">
        <f>SUM(I78:I79)</f>
        <v>1705</v>
      </c>
      <c r="J80" s="106"/>
      <c r="K80" s="106"/>
    </row>
    <row r="81" spans="1:11" s="96" customFormat="1" ht="15" customHeight="1" thickTop="1">
      <c r="A81" s="95"/>
      <c r="B81" s="185" t="str">
        <f>"Cumulative "&amp;LEFT(RIGHT(A3,25),9)&amp;" Period:"</f>
        <v>Cumulative 6 months  Period:</v>
      </c>
      <c r="C81" s="106"/>
      <c r="D81" s="112"/>
      <c r="E81" s="112"/>
      <c r="F81" s="112"/>
      <c r="G81" s="189"/>
      <c r="H81" s="112"/>
      <c r="I81" s="106"/>
      <c r="J81" s="106"/>
      <c r="K81" s="106"/>
    </row>
    <row r="82" spans="1:11" s="96" customFormat="1" ht="15" customHeight="1">
      <c r="A82" s="95"/>
      <c r="B82" s="187" t="s">
        <v>144</v>
      </c>
      <c r="C82" s="106"/>
      <c r="D82" s="106"/>
      <c r="E82" s="106"/>
      <c r="F82" s="106"/>
      <c r="G82" s="189" t="s">
        <v>145</v>
      </c>
      <c r="H82" s="189" t="s">
        <v>145</v>
      </c>
      <c r="I82" s="189" t="s">
        <v>145</v>
      </c>
      <c r="J82" s="106"/>
      <c r="K82" s="106"/>
    </row>
    <row r="83" spans="1:11" s="96" customFormat="1" ht="15" customHeight="1">
      <c r="A83" s="95"/>
      <c r="B83" s="187" t="s">
        <v>138</v>
      </c>
      <c r="C83" s="106"/>
      <c r="D83" s="106"/>
      <c r="E83" s="106"/>
      <c r="F83" s="106"/>
      <c r="G83" s="198">
        <f>ROUND((454928.35+2053963.43)/1000,0)</f>
        <v>2509</v>
      </c>
      <c r="H83" s="198" t="s">
        <v>145</v>
      </c>
      <c r="I83" s="198">
        <f>SUM(G83:H83)</f>
        <v>2509</v>
      </c>
      <c r="J83" s="106"/>
      <c r="K83" s="106"/>
    </row>
    <row r="84" spans="1:11" s="96" customFormat="1" ht="15" customHeight="1" thickBot="1">
      <c r="A84" s="95"/>
      <c r="B84" s="110" t="s">
        <v>146</v>
      </c>
      <c r="C84" s="106"/>
      <c r="D84" s="106"/>
      <c r="E84" s="106"/>
      <c r="F84" s="106"/>
      <c r="G84" s="128">
        <f>SUM(G82:G83)</f>
        <v>2509</v>
      </c>
      <c r="H84" s="128" t="s">
        <v>145</v>
      </c>
      <c r="I84" s="128">
        <f>SUM(I82:I83)</f>
        <v>2509</v>
      </c>
      <c r="J84" s="106"/>
      <c r="K84" s="106"/>
    </row>
    <row r="85" spans="1:11" s="96" customFormat="1" ht="15" customHeight="1" thickTop="1">
      <c r="A85" s="95"/>
      <c r="B85" s="106"/>
      <c r="C85" s="110"/>
      <c r="D85" s="106"/>
      <c r="E85" s="106"/>
      <c r="F85" s="114"/>
      <c r="G85" s="114"/>
      <c r="H85" s="114"/>
      <c r="I85" s="106"/>
      <c r="J85" s="106"/>
      <c r="K85" s="106"/>
    </row>
    <row r="86" spans="1:11" s="96" customFormat="1" ht="22.5" customHeight="1">
      <c r="A86" s="95"/>
      <c r="B86" s="235" t="s">
        <v>139</v>
      </c>
      <c r="C86" s="235"/>
      <c r="D86" s="235"/>
      <c r="E86" s="235"/>
      <c r="F86" s="235"/>
      <c r="G86" s="235"/>
      <c r="H86" s="235"/>
      <c r="I86" s="235"/>
      <c r="J86" s="235"/>
      <c r="K86" s="235"/>
    </row>
    <row r="87" spans="1:11" s="96" customFormat="1" ht="28.5" customHeight="1">
      <c r="A87" s="95"/>
      <c r="B87" s="106"/>
      <c r="C87" s="106"/>
      <c r="D87" s="106"/>
      <c r="E87" s="109" t="s">
        <v>140</v>
      </c>
      <c r="F87" s="233" t="str">
        <f>"Balance Outstanding at "&amp;SCI!G5</f>
        <v>Balance Outstanding at 30/06/2011</v>
      </c>
      <c r="G87" s="233"/>
      <c r="H87" s="108" t="s">
        <v>141</v>
      </c>
      <c r="I87" s="108"/>
      <c r="J87" s="107"/>
      <c r="K87" s="106"/>
    </row>
    <row r="88" spans="1:11" s="96" customFormat="1" ht="15" customHeight="1">
      <c r="A88" s="95"/>
      <c r="B88" s="106"/>
      <c r="C88" s="106"/>
      <c r="D88" s="106"/>
      <c r="E88" s="104" t="s">
        <v>1</v>
      </c>
      <c r="F88" s="111" t="s">
        <v>1</v>
      </c>
      <c r="G88" s="106"/>
      <c r="H88" s="106"/>
      <c r="I88" s="106"/>
      <c r="J88" s="106"/>
      <c r="K88" s="106"/>
    </row>
    <row r="89" spans="1:11" s="96" customFormat="1" ht="22.5" customHeight="1" thickBot="1">
      <c r="A89" s="95"/>
      <c r="B89" s="107" t="s">
        <v>142</v>
      </c>
      <c r="C89" s="107"/>
      <c r="D89" s="107"/>
      <c r="E89" s="125">
        <v>0</v>
      </c>
      <c r="F89" s="125">
        <v>633</v>
      </c>
      <c r="G89" s="106"/>
      <c r="H89" s="234" t="s">
        <v>143</v>
      </c>
      <c r="I89" s="234"/>
      <c r="J89" s="234"/>
      <c r="K89" s="234"/>
    </row>
    <row r="90" spans="1:11" s="96" customFormat="1" ht="15" customHeight="1" thickTop="1">
      <c r="A90" s="95"/>
      <c r="B90" s="95"/>
      <c r="C90" s="95"/>
      <c r="D90" s="95"/>
      <c r="E90" s="95"/>
      <c r="F90" s="95"/>
      <c r="G90" s="95"/>
      <c r="H90" s="95"/>
      <c r="I90" s="95"/>
      <c r="J90" s="95"/>
      <c r="K90" s="95"/>
    </row>
  </sheetData>
  <sheetProtection password="DCC4" sheet="1" objects="1" scenarios="1"/>
  <mergeCells count="20">
    <mergeCell ref="B57:K57"/>
    <mergeCell ref="B60:K60"/>
    <mergeCell ref="B63:K63"/>
    <mergeCell ref="B21:K21"/>
    <mergeCell ref="B29:K29"/>
    <mergeCell ref="B44:K44"/>
    <mergeCell ref="B32:H32"/>
    <mergeCell ref="B33:H33"/>
    <mergeCell ref="B15:K15"/>
    <mergeCell ref="B17:K17"/>
    <mergeCell ref="B20:K20"/>
    <mergeCell ref="A5:K5"/>
    <mergeCell ref="B8:K8"/>
    <mergeCell ref="B11:K11"/>
    <mergeCell ref="B14:K14"/>
    <mergeCell ref="F87:G87"/>
    <mergeCell ref="H89:K89"/>
    <mergeCell ref="B86:K86"/>
    <mergeCell ref="B66:K66"/>
    <mergeCell ref="B75:K75"/>
  </mergeCells>
  <printOptions/>
  <pageMargins left="0.3937007874015748" right="0.3937007874015748" top="0.3937007874015748" bottom="0.3937007874015748" header="0.31496062992125984" footer="0.31496062992125984"/>
  <pageSetup horizontalDpi="600" verticalDpi="600" orientation="portrait" paperSize="9" r:id="rId2"/>
  <rowBreaks count="2" manualBreakCount="2">
    <brk id="34" max="10" man="1"/>
    <brk id="73" max="10" man="1"/>
  </rowBreaks>
  <drawing r:id="rId1"/>
</worksheet>
</file>

<file path=xl/worksheets/sheet6.xml><?xml version="1.0" encoding="utf-8"?>
<worksheet xmlns="http://schemas.openxmlformats.org/spreadsheetml/2006/main" xmlns:r="http://schemas.openxmlformats.org/officeDocument/2006/relationships">
  <dimension ref="A1:U138"/>
  <sheetViews>
    <sheetView tabSelected="1" zoomScaleSheetLayoutView="100" zoomScalePageLayoutView="0" workbookViewId="0" topLeftCell="A43">
      <selection activeCell="E81" sqref="E81"/>
    </sheetView>
  </sheetViews>
  <sheetFormatPr defaultColWidth="9.33203125" defaultRowHeight="10.5"/>
  <cols>
    <col min="1" max="1" width="6.16015625" style="85" customWidth="1"/>
    <col min="2" max="10" width="12.16015625" style="85" customWidth="1"/>
    <col min="11" max="11" width="5.16015625" style="85" customWidth="1"/>
    <col min="12" max="12" width="7.83203125" style="85" bestFit="1" customWidth="1"/>
    <col min="13" max="13" width="4" style="85" bestFit="1" customWidth="1"/>
    <col min="14" max="14" width="11.33203125" style="85" bestFit="1" customWidth="1"/>
    <col min="15" max="17" width="12.5" style="85" bestFit="1" customWidth="1"/>
    <col min="18" max="19" width="13.83203125" style="85" bestFit="1" customWidth="1"/>
    <col min="20" max="20" width="12.33203125" style="85" bestFit="1" customWidth="1"/>
    <col min="21" max="16384" width="9.33203125" style="85" customWidth="1"/>
  </cols>
  <sheetData>
    <row r="1" spans="1:11" s="84" customFormat="1" ht="75" customHeight="1">
      <c r="A1" s="31"/>
      <c r="B1" s="31"/>
      <c r="C1" s="31"/>
      <c r="D1" s="31"/>
      <c r="E1" s="31"/>
      <c r="F1" s="31"/>
      <c r="G1" s="31"/>
      <c r="H1" s="31"/>
      <c r="I1" s="31"/>
      <c r="J1" s="31"/>
      <c r="K1" s="31"/>
    </row>
    <row r="2" spans="1:11" s="96" customFormat="1" ht="15" customHeight="1">
      <c r="A2" s="95"/>
      <c r="B2" s="95"/>
      <c r="C2" s="95"/>
      <c r="D2" s="95"/>
      <c r="E2" s="95"/>
      <c r="F2" s="95"/>
      <c r="G2" s="95"/>
      <c r="H2" s="95"/>
      <c r="I2" s="95"/>
      <c r="J2" s="95"/>
      <c r="K2" s="95"/>
    </row>
    <row r="3" spans="1:11" s="83" customFormat="1" ht="15" customHeight="1">
      <c r="A3" s="81" t="str">
        <f>"Note of the Interim Financial Report for the "&amp;RIGHT(SCI!A2,25)</f>
        <v>Note of the Interim Financial Report for the 6 months ended 30/06/2011</v>
      </c>
      <c r="B3" s="82"/>
      <c r="C3" s="82"/>
      <c r="D3" s="82"/>
      <c r="E3" s="82"/>
      <c r="F3" s="82"/>
      <c r="G3" s="82"/>
      <c r="H3" s="82"/>
      <c r="I3" s="82"/>
      <c r="J3" s="82"/>
      <c r="K3" s="82"/>
    </row>
    <row r="4" spans="1:11" s="83" customFormat="1" ht="10.5">
      <c r="A4" s="82"/>
      <c r="B4" s="82"/>
      <c r="C4" s="82"/>
      <c r="D4" s="82"/>
      <c r="E4" s="82"/>
      <c r="F4" s="82"/>
      <c r="G4" s="82"/>
      <c r="H4" s="82"/>
      <c r="I4" s="82"/>
      <c r="J4" s="82"/>
      <c r="K4" s="82"/>
    </row>
    <row r="5" spans="1:11" s="83" customFormat="1" ht="15" customHeight="1">
      <c r="A5" s="237" t="s">
        <v>151</v>
      </c>
      <c r="B5" s="237"/>
      <c r="C5" s="237"/>
      <c r="D5" s="237"/>
      <c r="E5" s="237"/>
      <c r="F5" s="237"/>
      <c r="G5" s="237"/>
      <c r="H5" s="237"/>
      <c r="I5" s="237"/>
      <c r="J5" s="237"/>
      <c r="K5" s="237"/>
    </row>
    <row r="6" spans="1:11" s="96" customFormat="1" ht="10.5">
      <c r="A6" s="95"/>
      <c r="B6" s="95"/>
      <c r="C6" s="95"/>
      <c r="D6" s="95"/>
      <c r="E6" s="95"/>
      <c r="F6" s="95"/>
      <c r="G6" s="95"/>
      <c r="H6" s="95"/>
      <c r="I6" s="95"/>
      <c r="J6" s="95"/>
      <c r="K6" s="95"/>
    </row>
    <row r="7" spans="1:11" s="96" customFormat="1" ht="15" customHeight="1">
      <c r="A7" s="94" t="s">
        <v>150</v>
      </c>
      <c r="B7" s="97" t="s">
        <v>153</v>
      </c>
      <c r="C7" s="97"/>
      <c r="D7" s="97"/>
      <c r="E7" s="97"/>
      <c r="F7" s="97"/>
      <c r="G7" s="97"/>
      <c r="H7" s="97"/>
      <c r="I7" s="97"/>
      <c r="J7" s="97"/>
      <c r="K7" s="97"/>
    </row>
    <row r="8" spans="1:11" s="96" customFormat="1" ht="28.5" customHeight="1">
      <c r="A8" s="95"/>
      <c r="B8" s="236" t="str">
        <f>"The Group's revenue of RM"&amp;ROUND(SCI!D8/1000,2)&amp;" million for the current quarter and "&amp;LEFT(RIGHT(A3,25),9)&amp;"cumulative period was consistent with the corresponding preceding period in the prior financial year."</f>
        <v>The Group's revenue of RM16.93 million for the current quarter and 6 months cumulative period was consistent with the corresponding preceding period in the prior financial year.</v>
      </c>
      <c r="C8" s="236"/>
      <c r="D8" s="236"/>
      <c r="E8" s="236"/>
      <c r="F8" s="236"/>
      <c r="G8" s="236"/>
      <c r="H8" s="236"/>
      <c r="I8" s="236"/>
      <c r="J8" s="236"/>
      <c r="K8" s="236"/>
    </row>
    <row r="9" spans="1:11" s="96" customFormat="1" ht="39" customHeight="1">
      <c r="A9" s="95"/>
      <c r="B9" s="236" t="str">
        <f>"The Group's profit before tax of RM"&amp;ROUND(SCI!D21/1000,2)&amp;" million for the current quarter and "&amp;LEFT(RIGHT(A3,25),9)&amp;"cumulative period was "&amp;ABS(ROUND(SCI!J21,1))&amp;"% lower than the corresponding preceding period in the prior financial year. The decrease were mainly due to the following:-"</f>
        <v>The Group's profit before tax of RM1.17 million for the current quarter and 6 months cumulative period was 42.1% lower than the corresponding preceding period in the prior financial year. The decrease were mainly due to the following:-</v>
      </c>
      <c r="C9" s="236"/>
      <c r="D9" s="236"/>
      <c r="E9" s="236"/>
      <c r="F9" s="236"/>
      <c r="G9" s="236"/>
      <c r="H9" s="236"/>
      <c r="I9" s="236"/>
      <c r="J9" s="236"/>
      <c r="K9" s="236"/>
    </row>
    <row r="10" spans="1:11" s="96" customFormat="1" ht="75.75" customHeight="1">
      <c r="A10" s="95"/>
      <c r="B10" s="236" t="s">
        <v>275</v>
      </c>
      <c r="C10" s="236"/>
      <c r="D10" s="236"/>
      <c r="E10" s="236"/>
      <c r="F10" s="236"/>
      <c r="G10" s="236"/>
      <c r="H10" s="236"/>
      <c r="I10" s="236"/>
      <c r="J10" s="236"/>
      <c r="K10" s="236"/>
    </row>
    <row r="11" spans="1:11" s="96" customFormat="1" ht="15" customHeight="1">
      <c r="A11" s="95"/>
      <c r="B11" s="199"/>
      <c r="C11" s="199"/>
      <c r="D11" s="199"/>
      <c r="E11" s="199"/>
      <c r="F11" s="199"/>
      <c r="G11" s="199"/>
      <c r="H11" s="199"/>
      <c r="I11" s="199"/>
      <c r="J11" s="199"/>
      <c r="K11" s="199"/>
    </row>
    <row r="12" spans="1:11" s="96" customFormat="1" ht="15" customHeight="1">
      <c r="A12" s="94" t="str">
        <f>"B"&amp;MID(A7,2,1)+1&amp;"."</f>
        <v>B2.</v>
      </c>
      <c r="B12" s="97" t="s">
        <v>175</v>
      </c>
      <c r="C12" s="95"/>
      <c r="D12" s="95"/>
      <c r="E12" s="95"/>
      <c r="F12" s="95"/>
      <c r="G12" s="95"/>
      <c r="H12" s="95"/>
      <c r="I12" s="95"/>
      <c r="J12" s="95"/>
      <c r="K12" s="95"/>
    </row>
    <row r="13" spans="1:11" s="96" customFormat="1" ht="45.75" customHeight="1">
      <c r="A13" s="95"/>
      <c r="B13" s="236" t="str">
        <f>"The Group's profit before tax of RM"&amp;ROUND(SCI!D21/1000,2)&amp;" million for the current quarter under review was 25.8% higher compared with the profit before tax amounting to RM0.93 million of the preceding quarter. This was mainly due to"&amp;" written-off Group's listing expenses and losses in foreign exchange in preceding quarter. Higher profit before tax in current quarter was also attributable to other operating income namely fixed deposit interest received."</f>
        <v>The Group's profit before tax of RM1.17 million for the current quarter under review was 25.8% higher compared with the profit before tax amounting to RM0.93 million of the preceding quarter. This was mainly due to written-off Group's listing expenses and losses in foreign exchange in preceding quarter. Higher profit before tax in current quarter was also attributable to other operating income namely fixed deposit interest received.</v>
      </c>
      <c r="C13" s="236"/>
      <c r="D13" s="236"/>
      <c r="E13" s="236"/>
      <c r="F13" s="236"/>
      <c r="G13" s="236"/>
      <c r="H13" s="236"/>
      <c r="I13" s="236"/>
      <c r="J13" s="236"/>
      <c r="K13" s="236"/>
    </row>
    <row r="14" spans="1:11" s="96" customFormat="1" ht="15" customHeight="1">
      <c r="A14" s="95"/>
      <c r="B14" s="95"/>
      <c r="C14" s="95"/>
      <c r="D14" s="95"/>
      <c r="E14" s="95"/>
      <c r="F14" s="95"/>
      <c r="G14" s="95"/>
      <c r="H14" s="95"/>
      <c r="I14" s="95"/>
      <c r="J14" s="95"/>
      <c r="K14" s="95"/>
    </row>
    <row r="15" spans="1:11" s="96" customFormat="1" ht="15" customHeight="1">
      <c r="A15" s="94" t="str">
        <f>"B"&amp;MID(A12,2,1)+1&amp;"."</f>
        <v>B3.</v>
      </c>
      <c r="B15" s="97" t="s">
        <v>155</v>
      </c>
      <c r="C15" s="95"/>
      <c r="D15" s="95"/>
      <c r="E15" s="95"/>
      <c r="F15" s="95"/>
      <c r="G15" s="95"/>
      <c r="H15" s="95"/>
      <c r="I15" s="95"/>
      <c r="J15" s="95"/>
      <c r="K15" s="95"/>
    </row>
    <row r="16" spans="1:11" s="96" customFormat="1" ht="87" customHeight="1">
      <c r="A16" s="95"/>
      <c r="B16" s="236" t="s">
        <v>272</v>
      </c>
      <c r="C16" s="236"/>
      <c r="D16" s="236"/>
      <c r="E16" s="236"/>
      <c r="F16" s="236"/>
      <c r="G16" s="236"/>
      <c r="H16" s="236"/>
      <c r="I16" s="236"/>
      <c r="J16" s="236"/>
      <c r="K16" s="236"/>
    </row>
    <row r="17" spans="1:11" s="96" customFormat="1" ht="15" customHeight="1">
      <c r="A17" s="95"/>
      <c r="B17" s="95"/>
      <c r="C17" s="95"/>
      <c r="D17" s="95"/>
      <c r="E17" s="95"/>
      <c r="F17" s="95"/>
      <c r="G17" s="95"/>
      <c r="H17" s="95"/>
      <c r="I17" s="95"/>
      <c r="J17" s="95"/>
      <c r="K17" s="95"/>
    </row>
    <row r="18" spans="1:11" s="96" customFormat="1" ht="15" customHeight="1">
      <c r="A18" s="94" t="str">
        <f>"B"&amp;MID(A15,2,1)+1&amp;"."</f>
        <v>B4.</v>
      </c>
      <c r="B18" s="97" t="s">
        <v>277</v>
      </c>
      <c r="C18" s="95"/>
      <c r="D18" s="95"/>
      <c r="E18" s="95"/>
      <c r="F18" s="95"/>
      <c r="G18" s="95"/>
      <c r="H18" s="95"/>
      <c r="I18" s="95"/>
      <c r="J18" s="95"/>
      <c r="K18" s="95"/>
    </row>
    <row r="19" spans="1:11" s="96" customFormat="1" ht="15" customHeight="1">
      <c r="A19" s="95"/>
      <c r="B19" s="236" t="s">
        <v>276</v>
      </c>
      <c r="C19" s="236"/>
      <c r="D19" s="236"/>
      <c r="E19" s="236"/>
      <c r="F19" s="236"/>
      <c r="G19" s="236"/>
      <c r="H19" s="236"/>
      <c r="I19" s="236"/>
      <c r="J19" s="236"/>
      <c r="K19" s="236"/>
    </row>
    <row r="20" spans="1:11" s="96" customFormat="1" ht="15" customHeight="1">
      <c r="A20" s="95"/>
      <c r="B20" s="95"/>
      <c r="C20" s="95"/>
      <c r="D20" s="95"/>
      <c r="E20" s="95"/>
      <c r="F20" s="95"/>
      <c r="G20" s="95"/>
      <c r="H20" s="95"/>
      <c r="I20" s="95"/>
      <c r="J20" s="95"/>
      <c r="K20" s="95"/>
    </row>
    <row r="21" spans="1:11" s="96" customFormat="1" ht="15" customHeight="1">
      <c r="A21" s="94" t="str">
        <f>"B"&amp;MID(A18,2,1)+1&amp;"."</f>
        <v>B5.</v>
      </c>
      <c r="B21" s="97" t="s">
        <v>156</v>
      </c>
      <c r="C21" s="95"/>
      <c r="D21" s="95"/>
      <c r="E21" s="95"/>
      <c r="F21" s="95"/>
      <c r="G21" s="95"/>
      <c r="H21" s="95"/>
      <c r="I21" s="95"/>
      <c r="J21" s="95"/>
      <c r="K21" s="95"/>
    </row>
    <row r="22" spans="1:11" s="96" customFormat="1" ht="10.5">
      <c r="A22" s="95"/>
      <c r="B22" s="82"/>
      <c r="C22" s="95"/>
      <c r="D22" s="95"/>
      <c r="E22" s="95"/>
      <c r="F22" s="95"/>
      <c r="G22" s="104" t="s">
        <v>157</v>
      </c>
      <c r="H22" s="95"/>
      <c r="I22" s="104" t="str">
        <f>SCI!G3</f>
        <v>Cumulative period</v>
      </c>
      <c r="J22" s="95"/>
      <c r="K22" s="95"/>
    </row>
    <row r="23" spans="1:11" s="96" customFormat="1" ht="10.5">
      <c r="A23" s="95"/>
      <c r="B23" s="82" t="s">
        <v>159</v>
      </c>
      <c r="C23" s="95"/>
      <c r="D23" s="95"/>
      <c r="E23" s="95"/>
      <c r="F23" s="95"/>
      <c r="G23" s="104" t="s">
        <v>158</v>
      </c>
      <c r="H23" s="95"/>
      <c r="I23" s="104" t="str">
        <f>SCI!G4</f>
        <v>6 months ended </v>
      </c>
      <c r="J23" s="95"/>
      <c r="K23" s="95"/>
    </row>
    <row r="24" spans="1:11" s="96" customFormat="1" ht="10.5">
      <c r="A24" s="95"/>
      <c r="B24" s="95"/>
      <c r="C24" s="95"/>
      <c r="D24" s="95"/>
      <c r="E24" s="95"/>
      <c r="F24" s="95"/>
      <c r="G24" s="122" t="str">
        <f>SCI!D5</f>
        <v>30/06/2011</v>
      </c>
      <c r="H24" s="95"/>
      <c r="I24" s="122" t="str">
        <f>SCI!G5</f>
        <v>30/06/2011</v>
      </c>
      <c r="J24" s="95"/>
      <c r="K24" s="95"/>
    </row>
    <row r="25" spans="1:11" s="100" customFormat="1" ht="15" customHeight="1">
      <c r="A25" s="98"/>
      <c r="B25" s="124" t="s">
        <v>160</v>
      </c>
      <c r="C25" s="98"/>
      <c r="D25" s="98"/>
      <c r="E25" s="98"/>
      <c r="F25" s="98"/>
      <c r="G25" s="129" t="s">
        <v>1</v>
      </c>
      <c r="H25" s="98"/>
      <c r="I25" s="129" t="s">
        <v>1</v>
      </c>
      <c r="J25" s="98"/>
      <c r="K25" s="98"/>
    </row>
    <row r="26" spans="1:11" s="100" customFormat="1" ht="15" customHeight="1">
      <c r="A26" s="98"/>
      <c r="B26" s="134" t="s">
        <v>161</v>
      </c>
      <c r="C26" s="98"/>
      <c r="D26" s="98"/>
      <c r="E26" s="98"/>
      <c r="F26" s="98"/>
      <c r="G26" s="130">
        <v>-363</v>
      </c>
      <c r="H26" s="98"/>
      <c r="I26" s="130">
        <v>-682</v>
      </c>
      <c r="J26" s="98"/>
      <c r="K26" s="98"/>
    </row>
    <row r="27" spans="1:11" s="100" customFormat="1" ht="15" customHeight="1">
      <c r="A27" s="98"/>
      <c r="B27" s="134" t="s">
        <v>162</v>
      </c>
      <c r="C27" s="98"/>
      <c r="D27" s="98"/>
      <c r="E27" s="98"/>
      <c r="F27" s="98"/>
      <c r="G27" s="130">
        <f>ROUND(502218.12/1000,0)</f>
        <v>502</v>
      </c>
      <c r="H27" s="98"/>
      <c r="I27" s="130">
        <f>G27</f>
        <v>502</v>
      </c>
      <c r="J27" s="98"/>
      <c r="K27" s="98"/>
    </row>
    <row r="28" spans="1:11" s="100" customFormat="1" ht="15" customHeight="1" hidden="1">
      <c r="A28" s="98"/>
      <c r="B28" s="134" t="s">
        <v>163</v>
      </c>
      <c r="C28" s="98"/>
      <c r="D28" s="98"/>
      <c r="E28" s="98"/>
      <c r="F28" s="98"/>
      <c r="G28" s="130">
        <v>0</v>
      </c>
      <c r="H28" s="98"/>
      <c r="I28" s="130">
        <v>0</v>
      </c>
      <c r="J28" s="98"/>
      <c r="K28" s="98"/>
    </row>
    <row r="29" spans="1:11" s="100" customFormat="1" ht="15" customHeight="1">
      <c r="A29" s="98"/>
      <c r="B29" s="134" t="s">
        <v>164</v>
      </c>
      <c r="C29" s="98"/>
      <c r="D29" s="98"/>
      <c r="E29" s="98"/>
      <c r="F29" s="98"/>
      <c r="G29" s="113">
        <v>0</v>
      </c>
      <c r="H29" s="98"/>
      <c r="I29" s="113">
        <v>0</v>
      </c>
      <c r="J29" s="98"/>
      <c r="K29" s="98"/>
    </row>
    <row r="30" spans="1:11" s="100" customFormat="1" ht="15" customHeight="1" hidden="1">
      <c r="A30" s="98"/>
      <c r="B30" s="124" t="s">
        <v>211</v>
      </c>
      <c r="C30" s="98"/>
      <c r="D30" s="98"/>
      <c r="E30" s="98"/>
      <c r="F30" s="98"/>
      <c r="G30" s="131">
        <f>SUM(G26:G29)</f>
        <v>139</v>
      </c>
      <c r="H30" s="132"/>
      <c r="I30" s="131">
        <f>SUM(I26:I29)</f>
        <v>-180</v>
      </c>
      <c r="J30" s="98"/>
      <c r="K30" s="98"/>
    </row>
    <row r="31" spans="1:11" s="100" customFormat="1" ht="15" customHeight="1" hidden="1">
      <c r="A31" s="98"/>
      <c r="B31" s="124" t="s">
        <v>212</v>
      </c>
      <c r="C31" s="98"/>
      <c r="D31" s="98"/>
      <c r="E31" s="98"/>
      <c r="F31" s="98"/>
      <c r="G31" s="98"/>
      <c r="H31" s="98"/>
      <c r="I31" s="98"/>
      <c r="J31" s="98"/>
      <c r="K31" s="98"/>
    </row>
    <row r="32" spans="1:11" s="100" customFormat="1" ht="15" customHeight="1" hidden="1">
      <c r="A32" s="98"/>
      <c r="B32" s="134" t="s">
        <v>165</v>
      </c>
      <c r="C32" s="98"/>
      <c r="D32" s="98"/>
      <c r="E32" s="98"/>
      <c r="F32" s="98"/>
      <c r="G32" s="130">
        <v>0</v>
      </c>
      <c r="H32" s="98"/>
      <c r="I32" s="130">
        <v>0</v>
      </c>
      <c r="J32" s="98"/>
      <c r="K32" s="98"/>
    </row>
    <row r="33" spans="1:11" s="100" customFormat="1" ht="15" customHeight="1" hidden="1">
      <c r="A33" s="98"/>
      <c r="B33" s="134" t="s">
        <v>166</v>
      </c>
      <c r="C33" s="98"/>
      <c r="D33" s="98"/>
      <c r="E33" s="98"/>
      <c r="F33" s="98"/>
      <c r="G33" s="130">
        <v>0</v>
      </c>
      <c r="H33" s="98"/>
      <c r="I33" s="130">
        <v>0</v>
      </c>
      <c r="J33" s="98"/>
      <c r="K33" s="98"/>
    </row>
    <row r="34" spans="1:11" s="100" customFormat="1" ht="15" customHeight="1" hidden="1">
      <c r="A34" s="98"/>
      <c r="B34" s="124" t="s">
        <v>167</v>
      </c>
      <c r="C34" s="98"/>
      <c r="D34" s="98"/>
      <c r="E34" s="98"/>
      <c r="F34" s="98"/>
      <c r="G34" s="98"/>
      <c r="H34" s="98"/>
      <c r="I34" s="98"/>
      <c r="J34" s="98"/>
      <c r="K34" s="98"/>
    </row>
    <row r="35" spans="1:11" s="100" customFormat="1" ht="15" customHeight="1" hidden="1">
      <c r="A35" s="98"/>
      <c r="B35" s="134" t="s">
        <v>168</v>
      </c>
      <c r="C35" s="98"/>
      <c r="D35" s="98"/>
      <c r="E35" s="98"/>
      <c r="F35" s="98"/>
      <c r="G35" s="130">
        <v>0</v>
      </c>
      <c r="H35" s="98"/>
      <c r="I35" s="130">
        <v>0</v>
      </c>
      <c r="J35" s="98"/>
      <c r="K35" s="98"/>
    </row>
    <row r="36" spans="1:13" s="100" customFormat="1" ht="15" customHeight="1" thickBot="1">
      <c r="A36" s="98"/>
      <c r="B36" s="82" t="s">
        <v>169</v>
      </c>
      <c r="C36" s="98"/>
      <c r="D36" s="98"/>
      <c r="E36" s="98"/>
      <c r="F36" s="98"/>
      <c r="G36" s="133">
        <f>SUM(G30:G35)</f>
        <v>139</v>
      </c>
      <c r="H36" s="98"/>
      <c r="I36" s="133">
        <f>SUM(I30:I35)</f>
        <v>-180</v>
      </c>
      <c r="J36" s="98"/>
      <c r="K36" s="98"/>
      <c r="L36" s="205">
        <f>G36-SCI!D23</f>
        <v>0</v>
      </c>
      <c r="M36" s="205">
        <f>I36-SCI!G23</f>
        <v>0</v>
      </c>
    </row>
    <row r="37" spans="1:11" s="100" customFormat="1" ht="11.25" thickTop="1">
      <c r="A37" s="98"/>
      <c r="B37" s="82"/>
      <c r="C37" s="98"/>
      <c r="D37" s="98"/>
      <c r="E37" s="98"/>
      <c r="F37" s="98"/>
      <c r="G37" s="135"/>
      <c r="H37" s="98"/>
      <c r="I37" s="135"/>
      <c r="J37" s="98"/>
      <c r="K37" s="98"/>
    </row>
    <row r="38" spans="1:11" s="100" customFormat="1" ht="10.5" customHeight="1">
      <c r="A38" s="98"/>
      <c r="B38" s="82"/>
      <c r="C38" s="98"/>
      <c r="D38" s="98"/>
      <c r="E38" s="98"/>
      <c r="F38" s="98"/>
      <c r="G38" s="242" t="str">
        <f>SCI!G3</f>
        <v>Cumulative period</v>
      </c>
      <c r="H38" s="242"/>
      <c r="I38" s="242"/>
      <c r="J38" s="242"/>
      <c r="K38" s="98"/>
    </row>
    <row r="39" spans="1:11" s="100" customFormat="1" ht="10.5">
      <c r="A39" s="98"/>
      <c r="B39" s="82" t="s">
        <v>236</v>
      </c>
      <c r="C39" s="98"/>
      <c r="D39" s="98"/>
      <c r="E39" s="98"/>
      <c r="F39" s="98"/>
      <c r="G39" s="240" t="str">
        <f>SCI!G4&amp;SCI!G5</f>
        <v>6 months ended 30/06/2011</v>
      </c>
      <c r="H39" s="240"/>
      <c r="I39" s="240"/>
      <c r="J39" s="240"/>
      <c r="K39" s="98"/>
    </row>
    <row r="40" spans="1:11" s="100" customFormat="1" ht="10.5">
      <c r="A40" s="98"/>
      <c r="B40" s="82"/>
      <c r="C40" s="98"/>
      <c r="D40" s="98"/>
      <c r="E40" s="98"/>
      <c r="F40" s="98"/>
      <c r="G40" s="135"/>
      <c r="H40" s="129" t="s">
        <v>1</v>
      </c>
      <c r="I40" s="202" t="s">
        <v>245</v>
      </c>
      <c r="J40" s="98"/>
      <c r="K40" s="98"/>
    </row>
    <row r="41" spans="1:11" s="100" customFormat="1" ht="15" customHeight="1" thickBot="1">
      <c r="A41" s="98"/>
      <c r="B41" s="206" t="s">
        <v>237</v>
      </c>
      <c r="C41" s="207"/>
      <c r="D41" s="207"/>
      <c r="E41" s="207"/>
      <c r="F41" s="207"/>
      <c r="G41" s="135"/>
      <c r="H41" s="211">
        <f>SCI!G21</f>
        <v>2134</v>
      </c>
      <c r="I41" s="212">
        <v>0</v>
      </c>
      <c r="J41" s="200"/>
      <c r="K41" s="98"/>
    </row>
    <row r="42" spans="1:11" s="100" customFormat="1" ht="15" customHeight="1" thickTop="1">
      <c r="A42" s="98"/>
      <c r="B42" s="213" t="s">
        <v>238</v>
      </c>
      <c r="C42" s="214"/>
      <c r="D42" s="214"/>
      <c r="E42" s="214"/>
      <c r="F42" s="214"/>
      <c r="G42" s="215"/>
      <c r="H42" s="216">
        <v>-534</v>
      </c>
      <c r="I42" s="217">
        <f>ROUND(H42/$H$41,4)</f>
        <v>-0.2502</v>
      </c>
      <c r="J42" s="98"/>
      <c r="K42" s="98"/>
    </row>
    <row r="43" spans="1:11" s="100" customFormat="1" ht="15" customHeight="1">
      <c r="A43" s="98"/>
      <c r="B43" s="218" t="s">
        <v>239</v>
      </c>
      <c r="C43" s="98"/>
      <c r="D43" s="98"/>
      <c r="E43" s="98"/>
      <c r="F43" s="98"/>
      <c r="G43" s="135"/>
      <c r="H43" s="130"/>
      <c r="I43" s="135"/>
      <c r="J43" s="98"/>
      <c r="K43" s="98"/>
    </row>
    <row r="44" spans="1:11" s="100" customFormat="1" ht="15" customHeight="1">
      <c r="A44" s="98"/>
      <c r="B44" s="134" t="s">
        <v>270</v>
      </c>
      <c r="C44" s="98"/>
      <c r="D44" s="98"/>
      <c r="E44" s="98"/>
      <c r="F44" s="98"/>
      <c r="G44" s="135"/>
      <c r="H44" s="130">
        <f>-(8-2)</f>
        <v>-6</v>
      </c>
      <c r="I44" s="209">
        <f>ROUND(H44/$H$41,4)</f>
        <v>-0.0028</v>
      </c>
      <c r="J44" s="98"/>
      <c r="K44" s="98"/>
    </row>
    <row r="45" spans="1:11" s="100" customFormat="1" ht="15" customHeight="1">
      <c r="A45" s="98"/>
      <c r="B45" s="134" t="s">
        <v>257</v>
      </c>
      <c r="C45" s="98"/>
      <c r="D45" s="98"/>
      <c r="E45" s="98"/>
      <c r="F45" s="98"/>
      <c r="G45" s="135"/>
      <c r="H45" s="197">
        <f>-(86+28)</f>
        <v>-114</v>
      </c>
      <c r="I45" s="209">
        <f>ROUND(H45/$H$41,4)</f>
        <v>-0.0534</v>
      </c>
      <c r="J45" s="98"/>
      <c r="K45" s="98"/>
    </row>
    <row r="46" spans="1:11" s="100" customFormat="1" ht="15" customHeight="1">
      <c r="A46" s="98"/>
      <c r="B46" s="134" t="s">
        <v>240</v>
      </c>
      <c r="C46" s="98"/>
      <c r="D46" s="98"/>
      <c r="E46" s="98"/>
      <c r="F46" s="98"/>
      <c r="G46" s="135"/>
      <c r="H46" s="130">
        <f>-(38-1)</f>
        <v>-37</v>
      </c>
      <c r="I46" s="209">
        <f>ROUND(H46/$H$41,4)</f>
        <v>-0.0173</v>
      </c>
      <c r="J46" s="98"/>
      <c r="K46" s="98"/>
    </row>
    <row r="47" spans="1:11" s="100" customFormat="1" ht="15" customHeight="1">
      <c r="A47" s="98"/>
      <c r="B47" s="134" t="s">
        <v>243</v>
      </c>
      <c r="C47" s="98"/>
      <c r="D47" s="98"/>
      <c r="E47" s="98"/>
      <c r="F47" s="98"/>
      <c r="G47" s="135"/>
      <c r="H47" s="130"/>
      <c r="I47" s="203"/>
      <c r="J47" s="98"/>
      <c r="K47" s="98"/>
    </row>
    <row r="48" spans="1:11" s="100" customFormat="1" ht="15" customHeight="1">
      <c r="A48" s="98"/>
      <c r="B48" s="134" t="s">
        <v>244</v>
      </c>
      <c r="C48" s="98"/>
      <c r="D48" s="98"/>
      <c r="E48" s="98"/>
      <c r="F48" s="98"/>
      <c r="G48" s="135"/>
      <c r="H48" s="130">
        <f>-(-135342.05+6161.05-5800.26+10292.43-1164.68-12161.3)/1000</f>
        <v>138.01480999999995</v>
      </c>
      <c r="I48" s="209">
        <f>ROUND(H48/$H$41,4)</f>
        <v>0.0647</v>
      </c>
      <c r="J48" s="98"/>
      <c r="K48" s="98"/>
    </row>
    <row r="49" spans="1:11" s="100" customFormat="1" ht="15" customHeight="1">
      <c r="A49" s="98"/>
      <c r="B49" s="134" t="s">
        <v>248</v>
      </c>
      <c r="C49" s="98"/>
      <c r="D49" s="98"/>
      <c r="E49" s="98"/>
      <c r="F49" s="98"/>
      <c r="G49" s="135"/>
      <c r="H49" s="130">
        <f>373446.75/1000</f>
        <v>373.44675</v>
      </c>
      <c r="I49" s="209">
        <f>ROUND(H49/$H$41,4)</f>
        <v>0.175</v>
      </c>
      <c r="J49" s="98"/>
      <c r="K49" s="98"/>
    </row>
    <row r="50" spans="1:21" s="100" customFormat="1" ht="15" customHeight="1" hidden="1">
      <c r="A50" s="98"/>
      <c r="B50" s="134" t="s">
        <v>249</v>
      </c>
      <c r="C50" s="98"/>
      <c r="D50" s="98"/>
      <c r="E50" s="98"/>
      <c r="F50" s="98"/>
      <c r="G50" s="135"/>
      <c r="H50" s="130">
        <v>0</v>
      </c>
      <c r="I50" s="203">
        <f>ROUND(H50/$H$41,2)</f>
        <v>0</v>
      </c>
      <c r="J50" s="98"/>
      <c r="K50" s="98"/>
      <c r="L50" s="96"/>
      <c r="M50" s="96"/>
      <c r="N50" s="96"/>
      <c r="O50" s="96"/>
      <c r="P50" s="96"/>
      <c r="Q50" s="96"/>
      <c r="R50" s="96"/>
      <c r="S50" s="96"/>
      <c r="T50" s="96"/>
      <c r="U50" s="96"/>
    </row>
    <row r="51" spans="1:21" s="100" customFormat="1" ht="15" customHeight="1" hidden="1">
      <c r="A51" s="98"/>
      <c r="B51" s="134" t="s">
        <v>242</v>
      </c>
      <c r="C51" s="98"/>
      <c r="D51" s="98"/>
      <c r="E51" s="98"/>
      <c r="F51" s="98"/>
      <c r="G51" s="135"/>
      <c r="H51" s="200">
        <v>0</v>
      </c>
      <c r="I51" s="203">
        <f>ROUND(H51/$H$41,2)</f>
        <v>0</v>
      </c>
      <c r="J51" s="98"/>
      <c r="K51" s="98"/>
      <c r="L51" s="96"/>
      <c r="M51" s="96"/>
      <c r="N51" s="96"/>
      <c r="O51" s="96"/>
      <c r="P51" s="96"/>
      <c r="Q51" s="96"/>
      <c r="R51" s="96"/>
      <c r="S51" s="96"/>
      <c r="T51" s="96"/>
      <c r="U51" s="96"/>
    </row>
    <row r="52" spans="1:21" s="204" customFormat="1" ht="15" customHeight="1" thickBot="1">
      <c r="A52" s="207"/>
      <c r="B52" s="206" t="s">
        <v>241</v>
      </c>
      <c r="C52" s="207"/>
      <c r="D52" s="207"/>
      <c r="E52" s="207"/>
      <c r="F52" s="207"/>
      <c r="G52" s="135"/>
      <c r="H52" s="201">
        <f>SUM(H42:H51)</f>
        <v>-179.5384400000001</v>
      </c>
      <c r="I52" s="210">
        <f>SUM(I42:I51)</f>
        <v>-0.08400000000000002</v>
      </c>
      <c r="J52" s="207"/>
      <c r="K52" s="207"/>
      <c r="L52" s="208"/>
      <c r="M52" s="208"/>
      <c r="N52" s="208"/>
      <c r="O52" s="208"/>
      <c r="P52" s="208"/>
      <c r="Q52" s="208"/>
      <c r="R52" s="208"/>
      <c r="S52" s="208"/>
      <c r="T52" s="208"/>
      <c r="U52" s="208"/>
    </row>
    <row r="53" spans="1:11" s="96" customFormat="1" ht="15" customHeight="1" thickTop="1">
      <c r="A53" s="95"/>
      <c r="B53" s="95"/>
      <c r="C53" s="95"/>
      <c r="D53" s="95"/>
      <c r="E53" s="95"/>
      <c r="F53" s="95"/>
      <c r="G53" s="95"/>
      <c r="H53" s="95"/>
      <c r="I53" s="95"/>
      <c r="J53" s="95"/>
      <c r="K53" s="95"/>
    </row>
    <row r="54" spans="1:11" s="96" customFormat="1" ht="15" customHeight="1">
      <c r="A54" s="94" t="str">
        <f>"B"&amp;MID(A21,2,1)+1&amp;"."</f>
        <v>B6.</v>
      </c>
      <c r="B54" s="97" t="s">
        <v>173</v>
      </c>
      <c r="C54" s="95"/>
      <c r="D54" s="95"/>
      <c r="E54" s="95"/>
      <c r="F54" s="95"/>
      <c r="G54" s="95"/>
      <c r="H54" s="95"/>
      <c r="I54" s="95"/>
      <c r="J54" s="95"/>
      <c r="K54" s="95"/>
    </row>
    <row r="55" spans="1:21" s="96" customFormat="1" ht="15" customHeight="1">
      <c r="A55" s="95"/>
      <c r="B55" s="236" t="s">
        <v>174</v>
      </c>
      <c r="C55" s="236"/>
      <c r="D55" s="236"/>
      <c r="E55" s="236"/>
      <c r="F55" s="236"/>
      <c r="G55" s="236"/>
      <c r="H55" s="236"/>
      <c r="I55" s="236"/>
      <c r="J55" s="236"/>
      <c r="K55" s="236"/>
      <c r="L55" s="100"/>
      <c r="M55" s="100"/>
      <c r="N55" s="100"/>
      <c r="O55" s="100"/>
      <c r="P55" s="100"/>
      <c r="Q55" s="100"/>
      <c r="R55" s="100"/>
      <c r="S55" s="100"/>
      <c r="T55" s="100"/>
      <c r="U55" s="100"/>
    </row>
    <row r="56" spans="1:21" s="96" customFormat="1" ht="15" customHeight="1">
      <c r="A56" s="95"/>
      <c r="B56" s="95"/>
      <c r="C56" s="95"/>
      <c r="D56" s="95"/>
      <c r="E56" s="95"/>
      <c r="F56" s="95"/>
      <c r="G56" s="95"/>
      <c r="H56" s="95"/>
      <c r="I56" s="95"/>
      <c r="J56" s="95"/>
      <c r="K56" s="95"/>
      <c r="L56" s="100"/>
      <c r="M56" s="100"/>
      <c r="N56" s="100"/>
      <c r="O56" s="100"/>
      <c r="P56" s="100"/>
      <c r="Q56" s="100"/>
      <c r="R56" s="100"/>
      <c r="S56" s="100"/>
      <c r="T56" s="100"/>
      <c r="U56" s="100"/>
    </row>
    <row r="57" spans="1:21" s="96" customFormat="1" ht="15" customHeight="1">
      <c r="A57" s="94" t="str">
        <f>"B"&amp;MID(A54,2,1)+1&amp;"."</f>
        <v>B7.</v>
      </c>
      <c r="B57" s="97" t="s">
        <v>172</v>
      </c>
      <c r="C57" s="95"/>
      <c r="D57" s="95"/>
      <c r="E57" s="95"/>
      <c r="F57" s="95"/>
      <c r="G57" s="95"/>
      <c r="H57" s="95"/>
      <c r="I57" s="95"/>
      <c r="J57" s="95"/>
      <c r="K57" s="95"/>
      <c r="L57" s="100"/>
      <c r="M57" s="100"/>
      <c r="N57" s="100"/>
      <c r="O57" s="100"/>
      <c r="P57" s="100"/>
      <c r="Q57" s="100"/>
      <c r="R57" s="100"/>
      <c r="S57" s="100"/>
      <c r="T57" s="100"/>
      <c r="U57" s="100"/>
    </row>
    <row r="58" spans="1:21" s="96" customFormat="1" ht="15" customHeight="1">
      <c r="A58" s="95"/>
      <c r="B58" s="236" t="s">
        <v>177</v>
      </c>
      <c r="C58" s="236"/>
      <c r="D58" s="236"/>
      <c r="E58" s="236"/>
      <c r="F58" s="236"/>
      <c r="G58" s="236"/>
      <c r="H58" s="236"/>
      <c r="I58" s="236"/>
      <c r="J58" s="236"/>
      <c r="K58" s="236"/>
      <c r="L58" s="100"/>
      <c r="M58" s="100"/>
      <c r="N58" s="100"/>
      <c r="O58" s="100"/>
      <c r="P58" s="100"/>
      <c r="Q58" s="100"/>
      <c r="R58" s="100"/>
      <c r="S58" s="100"/>
      <c r="T58" s="100"/>
      <c r="U58" s="100"/>
    </row>
    <row r="59" spans="1:21" s="96" customFormat="1" ht="15" customHeight="1">
      <c r="A59" s="95"/>
      <c r="B59" s="95"/>
      <c r="C59" s="95"/>
      <c r="D59" s="95"/>
      <c r="E59" s="95"/>
      <c r="F59" s="95"/>
      <c r="G59" s="95"/>
      <c r="H59" s="95"/>
      <c r="I59" s="95"/>
      <c r="J59" s="95"/>
      <c r="K59" s="95"/>
      <c r="L59" s="100"/>
      <c r="M59" s="100"/>
      <c r="N59" s="100"/>
      <c r="O59" s="100"/>
      <c r="P59" s="100"/>
      <c r="Q59" s="100"/>
      <c r="R59" s="100"/>
      <c r="S59" s="100"/>
      <c r="T59" s="100"/>
      <c r="U59" s="100"/>
    </row>
    <row r="60" spans="1:21" s="96" customFormat="1" ht="15" customHeight="1">
      <c r="A60" s="94" t="str">
        <f>"B"&amp;MID(A57,2,1)+1&amp;"."</f>
        <v>B8.</v>
      </c>
      <c r="B60" s="97" t="s">
        <v>176</v>
      </c>
      <c r="C60" s="95"/>
      <c r="D60" s="95"/>
      <c r="E60" s="95"/>
      <c r="F60" s="95"/>
      <c r="G60" s="95"/>
      <c r="H60" s="95"/>
      <c r="I60" s="95"/>
      <c r="J60" s="95"/>
      <c r="K60" s="95"/>
      <c r="L60" s="100"/>
      <c r="M60" s="100"/>
      <c r="N60" s="100"/>
      <c r="O60" s="100"/>
      <c r="P60" s="100"/>
      <c r="Q60" s="100"/>
      <c r="R60" s="100"/>
      <c r="S60" s="100"/>
      <c r="T60" s="100"/>
      <c r="U60" s="100"/>
    </row>
    <row r="61" spans="1:11" s="96" customFormat="1" ht="15" customHeight="1">
      <c r="A61" s="95"/>
      <c r="B61" s="237" t="s">
        <v>179</v>
      </c>
      <c r="C61" s="237"/>
      <c r="D61" s="237"/>
      <c r="E61" s="237"/>
      <c r="F61" s="237"/>
      <c r="G61" s="237"/>
      <c r="H61" s="237"/>
      <c r="I61" s="237"/>
      <c r="J61" s="237"/>
      <c r="K61" s="237"/>
    </row>
    <row r="62" spans="1:11" s="96" customFormat="1" ht="15" customHeight="1">
      <c r="A62" s="95"/>
      <c r="B62" s="236" t="s">
        <v>225</v>
      </c>
      <c r="C62" s="236"/>
      <c r="D62" s="236"/>
      <c r="E62" s="236"/>
      <c r="F62" s="236"/>
      <c r="G62" s="236"/>
      <c r="H62" s="236"/>
      <c r="I62" s="236"/>
      <c r="J62" s="236"/>
      <c r="K62" s="236"/>
    </row>
    <row r="63" spans="1:11" s="96" customFormat="1" ht="15" customHeight="1">
      <c r="A63" s="95"/>
      <c r="B63" s="95"/>
      <c r="C63" s="95"/>
      <c r="D63" s="95"/>
      <c r="E63" s="95"/>
      <c r="F63" s="95"/>
      <c r="G63" s="95"/>
      <c r="H63" s="95"/>
      <c r="I63" s="95"/>
      <c r="J63" s="95"/>
      <c r="K63" s="95"/>
    </row>
    <row r="64" spans="1:11" s="96" customFormat="1" ht="15" customHeight="1">
      <c r="A64" s="95"/>
      <c r="B64" s="237" t="s">
        <v>178</v>
      </c>
      <c r="C64" s="237"/>
      <c r="D64" s="237"/>
      <c r="E64" s="237"/>
      <c r="F64" s="237"/>
      <c r="G64" s="237"/>
      <c r="H64" s="237"/>
      <c r="I64" s="237"/>
      <c r="J64" s="237"/>
      <c r="K64" s="237"/>
    </row>
    <row r="65" spans="1:11" s="96" customFormat="1" ht="24" customHeight="1">
      <c r="A65" s="95"/>
      <c r="B65" s="236" t="s">
        <v>180</v>
      </c>
      <c r="C65" s="236"/>
      <c r="D65" s="236"/>
      <c r="E65" s="236"/>
      <c r="F65" s="236"/>
      <c r="G65" s="236"/>
      <c r="H65" s="236"/>
      <c r="I65" s="236"/>
      <c r="J65" s="236"/>
      <c r="K65" s="236"/>
    </row>
    <row r="66" spans="1:21" s="100" customFormat="1" ht="21">
      <c r="A66" s="98"/>
      <c r="B66" s="245" t="s">
        <v>181</v>
      </c>
      <c r="C66" s="246"/>
      <c r="D66" s="182"/>
      <c r="E66" s="183"/>
      <c r="F66" s="184" t="s">
        <v>186</v>
      </c>
      <c r="G66" s="184" t="s">
        <v>213</v>
      </c>
      <c r="H66" s="184" t="s">
        <v>256</v>
      </c>
      <c r="I66" s="243" t="s">
        <v>224</v>
      </c>
      <c r="J66" s="226"/>
      <c r="K66" s="244"/>
      <c r="L66" s="96"/>
      <c r="M66" s="96"/>
      <c r="N66" s="96"/>
      <c r="O66" s="96"/>
      <c r="P66" s="96"/>
      <c r="Q66" s="96"/>
      <c r="R66" s="96"/>
      <c r="S66" s="96"/>
      <c r="T66" s="96"/>
      <c r="U66" s="96"/>
    </row>
    <row r="67" spans="1:11" s="100" customFormat="1" ht="10.5">
      <c r="A67" s="98"/>
      <c r="B67" s="160"/>
      <c r="C67" s="181"/>
      <c r="D67" s="132"/>
      <c r="E67" s="159"/>
      <c r="F67" s="152" t="s">
        <v>1</v>
      </c>
      <c r="G67" s="152" t="s">
        <v>1</v>
      </c>
      <c r="H67" s="174" t="s">
        <v>154</v>
      </c>
      <c r="I67" s="177"/>
      <c r="J67" s="178"/>
      <c r="K67" s="159"/>
    </row>
    <row r="68" spans="1:11" s="100" customFormat="1" ht="15" customHeight="1">
      <c r="A68" s="98"/>
      <c r="B68" s="160" t="s">
        <v>183</v>
      </c>
      <c r="C68" s="132"/>
      <c r="D68" s="132"/>
      <c r="E68" s="159"/>
      <c r="F68" s="156">
        <v>3310</v>
      </c>
      <c r="G68" s="156">
        <v>0</v>
      </c>
      <c r="H68" s="169" t="s">
        <v>145</v>
      </c>
      <c r="I68" s="160" t="s">
        <v>185</v>
      </c>
      <c r="J68" s="132"/>
      <c r="K68" s="159"/>
    </row>
    <row r="69" spans="1:11" s="100" customFormat="1" ht="15" customHeight="1">
      <c r="A69" s="98"/>
      <c r="B69" s="160" t="s">
        <v>184</v>
      </c>
      <c r="C69" s="132"/>
      <c r="D69" s="132"/>
      <c r="E69" s="159"/>
      <c r="F69" s="156">
        <v>6260</v>
      </c>
      <c r="G69" s="156">
        <v>900</v>
      </c>
      <c r="H69" s="175">
        <f>ROUND((F69-G69)/F69*100,1)</f>
        <v>85.6</v>
      </c>
      <c r="I69" s="160" t="s">
        <v>185</v>
      </c>
      <c r="J69" s="132"/>
      <c r="K69" s="159"/>
    </row>
    <row r="70" spans="1:11" s="100" customFormat="1" ht="15" customHeight="1">
      <c r="A70" s="98"/>
      <c r="B70" s="160" t="s">
        <v>182</v>
      </c>
      <c r="C70" s="132"/>
      <c r="D70" s="132"/>
      <c r="E70" s="159"/>
      <c r="F70" s="156">
        <v>1900</v>
      </c>
      <c r="G70" s="156">
        <v>1823</v>
      </c>
      <c r="H70" s="175">
        <f>ROUND((F70-G70)/F70*100,1)</f>
        <v>4.1</v>
      </c>
      <c r="I70" s="160" t="s">
        <v>273</v>
      </c>
      <c r="J70" s="132"/>
      <c r="K70" s="159"/>
    </row>
    <row r="71" spans="1:11" s="100" customFormat="1" ht="15" customHeight="1" thickBot="1">
      <c r="A71" s="98"/>
      <c r="B71" s="179"/>
      <c r="C71" s="132"/>
      <c r="D71" s="132"/>
      <c r="E71" s="159"/>
      <c r="F71" s="173">
        <f>SUM(F68:F70)</f>
        <v>11470</v>
      </c>
      <c r="G71" s="173">
        <f>SUM(G68:G70)</f>
        <v>2723</v>
      </c>
      <c r="H71" s="176">
        <f>ROUND((F71-G71)/F71*100,1)</f>
        <v>76.3</v>
      </c>
      <c r="I71" s="179"/>
      <c r="J71" s="132"/>
      <c r="K71" s="159"/>
    </row>
    <row r="72" spans="1:21" s="96" customFormat="1" ht="11.25" thickTop="1">
      <c r="A72" s="95"/>
      <c r="B72" s="171"/>
      <c r="C72" s="172"/>
      <c r="D72" s="172"/>
      <c r="E72" s="180"/>
      <c r="F72" s="170"/>
      <c r="G72" s="170"/>
      <c r="H72" s="170"/>
      <c r="I72" s="171"/>
      <c r="J72" s="172"/>
      <c r="K72" s="180"/>
      <c r="L72" s="100"/>
      <c r="M72" s="100"/>
      <c r="N72" s="100"/>
      <c r="O72" s="100"/>
      <c r="P72" s="100"/>
      <c r="Q72" s="100"/>
      <c r="R72" s="100"/>
      <c r="S72" s="100"/>
      <c r="T72" s="100"/>
      <c r="U72" s="100"/>
    </row>
    <row r="73" spans="1:21" s="96" customFormat="1" ht="15" customHeight="1">
      <c r="A73" s="95"/>
      <c r="B73" s="95"/>
      <c r="C73" s="95"/>
      <c r="D73" s="95"/>
      <c r="E73" s="95"/>
      <c r="F73" s="95"/>
      <c r="G73" s="95"/>
      <c r="H73" s="95"/>
      <c r="I73" s="95"/>
      <c r="J73" s="95"/>
      <c r="K73" s="95"/>
      <c r="L73" s="100"/>
      <c r="M73" s="100"/>
      <c r="N73" s="100"/>
      <c r="O73" s="100"/>
      <c r="P73" s="100"/>
      <c r="Q73" s="100"/>
      <c r="R73" s="100"/>
      <c r="S73" s="100"/>
      <c r="T73" s="100"/>
      <c r="U73" s="100"/>
    </row>
    <row r="74" spans="1:21" s="96" customFormat="1" ht="15" customHeight="1">
      <c r="A74" s="94" t="str">
        <f>"B"&amp;MID(A60,2,1)+1&amp;"."</f>
        <v>B9.</v>
      </c>
      <c r="B74" s="97" t="s">
        <v>187</v>
      </c>
      <c r="C74" s="95"/>
      <c r="D74" s="95"/>
      <c r="E74" s="95"/>
      <c r="F74" s="95"/>
      <c r="G74" s="95"/>
      <c r="H74" s="95"/>
      <c r="I74" s="95"/>
      <c r="J74" s="95"/>
      <c r="K74" s="95"/>
      <c r="L74" s="100"/>
      <c r="M74" s="100"/>
      <c r="N74" s="100"/>
      <c r="O74" s="100"/>
      <c r="P74" s="100"/>
      <c r="Q74" s="100"/>
      <c r="R74" s="100"/>
      <c r="S74" s="100"/>
      <c r="T74" s="100"/>
      <c r="U74" s="100"/>
    </row>
    <row r="75" spans="1:21" s="96" customFormat="1" ht="15" customHeight="1">
      <c r="A75" s="95"/>
      <c r="B75" s="236" t="str">
        <f>"The Group's borrowings and debt securities as at "&amp;SCI!D5&amp;" are as follows:"</f>
        <v>The Group's borrowings and debt securities as at 30/06/2011 are as follows:</v>
      </c>
      <c r="C75" s="236"/>
      <c r="D75" s="236"/>
      <c r="E75" s="236"/>
      <c r="F75" s="236"/>
      <c r="G75" s="236"/>
      <c r="H75" s="236"/>
      <c r="I75" s="236"/>
      <c r="J75" s="236"/>
      <c r="K75" s="236"/>
      <c r="L75" s="100"/>
      <c r="M75" s="100"/>
      <c r="N75" s="100"/>
      <c r="O75" s="100"/>
      <c r="P75" s="100"/>
      <c r="Q75" s="100"/>
      <c r="R75" s="100"/>
      <c r="S75" s="100"/>
      <c r="T75" s="100"/>
      <c r="U75" s="100"/>
    </row>
    <row r="76" spans="1:11" s="96" customFormat="1" ht="10.5">
      <c r="A76" s="95"/>
      <c r="B76" s="95"/>
      <c r="C76" s="95"/>
      <c r="D76" s="95"/>
      <c r="E76" s="95"/>
      <c r="F76" s="95"/>
      <c r="G76" s="104" t="s">
        <v>46</v>
      </c>
      <c r="H76" s="104" t="s">
        <v>189</v>
      </c>
      <c r="I76" s="104" t="s">
        <v>188</v>
      </c>
      <c r="J76" s="95"/>
      <c r="K76" s="95"/>
    </row>
    <row r="77" spans="1:11" s="96" customFormat="1" ht="10.5">
      <c r="A77" s="95"/>
      <c r="B77" s="82" t="s">
        <v>190</v>
      </c>
      <c r="C77" s="95"/>
      <c r="D77" s="95"/>
      <c r="E77" s="95"/>
      <c r="F77" s="95"/>
      <c r="G77" s="129" t="s">
        <v>1</v>
      </c>
      <c r="H77" s="129" t="s">
        <v>1</v>
      </c>
      <c r="I77" s="129" t="s">
        <v>1</v>
      </c>
      <c r="J77" s="95"/>
      <c r="K77" s="95"/>
    </row>
    <row r="78" spans="1:21" s="100" customFormat="1" ht="15" customHeight="1">
      <c r="A78" s="98"/>
      <c r="B78" s="124" t="s">
        <v>191</v>
      </c>
      <c r="C78" s="98"/>
      <c r="D78" s="98"/>
      <c r="E78" s="98"/>
      <c r="F78" s="98"/>
      <c r="G78" s="141">
        <f>SFP!D31</f>
        <v>3044</v>
      </c>
      <c r="H78" s="141">
        <f>G78</f>
        <v>3044</v>
      </c>
      <c r="I78" s="141">
        <f>G78-H78</f>
        <v>0</v>
      </c>
      <c r="J78" s="98"/>
      <c r="K78" s="98"/>
      <c r="L78" s="150">
        <f>G78-SFP!D31</f>
        <v>0</v>
      </c>
      <c r="M78" s="96"/>
      <c r="N78" s="96"/>
      <c r="O78" s="96"/>
      <c r="P78" s="96"/>
      <c r="Q78" s="96"/>
      <c r="R78" s="96"/>
      <c r="S78" s="96"/>
      <c r="T78" s="96"/>
      <c r="U78" s="96"/>
    </row>
    <row r="79" spans="1:21" s="100" customFormat="1" ht="15" customHeight="1">
      <c r="A79" s="98"/>
      <c r="B79" s="124" t="s">
        <v>192</v>
      </c>
      <c r="C79" s="98"/>
      <c r="D79" s="98"/>
      <c r="E79" s="98"/>
      <c r="F79" s="98"/>
      <c r="G79" s="141">
        <f>SFP!D30+SFP!D26-G84</f>
        <v>514</v>
      </c>
      <c r="H79" s="141">
        <f>G79</f>
        <v>514</v>
      </c>
      <c r="I79" s="141">
        <f>G79-H79</f>
        <v>0</v>
      </c>
      <c r="J79" s="98"/>
      <c r="K79" s="98"/>
      <c r="L79" s="150">
        <f>G79-SFP!D30</f>
        <v>0</v>
      </c>
      <c r="M79" s="96"/>
      <c r="N79" s="96"/>
      <c r="O79" s="96"/>
      <c r="P79" s="96"/>
      <c r="Q79" s="96"/>
      <c r="R79" s="96"/>
      <c r="S79" s="96"/>
      <c r="T79" s="96"/>
      <c r="U79" s="96"/>
    </row>
    <row r="80" spans="1:21" s="100" customFormat="1" ht="15" customHeight="1" thickBot="1">
      <c r="A80" s="98"/>
      <c r="B80" s="98"/>
      <c r="C80" s="98"/>
      <c r="D80" s="98"/>
      <c r="E80" s="98"/>
      <c r="F80" s="98"/>
      <c r="G80" s="143">
        <f>SUM(G78:G79)</f>
        <v>3558</v>
      </c>
      <c r="H80" s="143">
        <f>SUM(H78:H79)</f>
        <v>3558</v>
      </c>
      <c r="I80" s="142">
        <f>SUM(I78:I79)</f>
        <v>0</v>
      </c>
      <c r="J80" s="98"/>
      <c r="K80" s="98"/>
      <c r="L80" s="96"/>
      <c r="M80" s="96"/>
      <c r="N80" s="96"/>
      <c r="O80" s="96"/>
      <c r="P80" s="96"/>
      <c r="Q80" s="96"/>
      <c r="R80" s="96"/>
      <c r="S80" s="96"/>
      <c r="T80" s="96"/>
      <c r="U80" s="96"/>
    </row>
    <row r="81" spans="1:21" s="100" customFormat="1" ht="11.25" thickTop="1">
      <c r="A81" s="98"/>
      <c r="B81" s="82" t="s">
        <v>193</v>
      </c>
      <c r="C81" s="98"/>
      <c r="D81" s="98"/>
      <c r="E81" s="98"/>
      <c r="F81" s="98"/>
      <c r="G81" s="98"/>
      <c r="H81" s="98"/>
      <c r="I81" s="98"/>
      <c r="J81" s="98"/>
      <c r="K81" s="98"/>
      <c r="L81" s="96"/>
      <c r="M81" s="96"/>
      <c r="N81" s="96"/>
      <c r="O81" s="96"/>
      <c r="P81" s="96"/>
      <c r="Q81" s="96"/>
      <c r="R81" s="96"/>
      <c r="S81" s="96"/>
      <c r="T81" s="96"/>
      <c r="U81" s="96"/>
    </row>
    <row r="82" spans="1:21" s="100" customFormat="1" ht="15" customHeight="1">
      <c r="A82" s="98"/>
      <c r="B82" s="124" t="s">
        <v>194</v>
      </c>
      <c r="C82" s="98"/>
      <c r="D82" s="98"/>
      <c r="E82" s="98"/>
      <c r="F82" s="98"/>
      <c r="G82" s="141">
        <f>SFP!D31+SFP!D27-G78</f>
        <v>17597</v>
      </c>
      <c r="H82" s="141">
        <f>G82</f>
        <v>17597</v>
      </c>
      <c r="I82" s="141">
        <f>G82-H82</f>
        <v>0</v>
      </c>
      <c r="J82" s="98"/>
      <c r="K82" s="98"/>
      <c r="L82" s="150">
        <f>G82-SFP!D27</f>
        <v>0</v>
      </c>
      <c r="M82" s="96"/>
      <c r="N82" s="96"/>
      <c r="O82" s="96"/>
      <c r="P82" s="96"/>
      <c r="Q82" s="96"/>
      <c r="R82" s="96"/>
      <c r="S82" s="96"/>
      <c r="T82" s="96"/>
      <c r="U82" s="96"/>
    </row>
    <row r="83" spans="1:21" s="100" customFormat="1" ht="15" customHeight="1" hidden="1">
      <c r="A83" s="98"/>
      <c r="B83" s="124" t="s">
        <v>191</v>
      </c>
      <c r="C83" s="98"/>
      <c r="D83" s="98"/>
      <c r="E83" s="98"/>
      <c r="F83" s="98"/>
      <c r="G83" s="141">
        <v>0</v>
      </c>
      <c r="H83" s="141">
        <f>G83</f>
        <v>0</v>
      </c>
      <c r="I83" s="141">
        <f>G83-H83</f>
        <v>0</v>
      </c>
      <c r="J83" s="98"/>
      <c r="K83" s="98"/>
      <c r="L83" s="151"/>
      <c r="M83" s="96"/>
      <c r="N83" s="96"/>
      <c r="O83" s="96"/>
      <c r="P83" s="96"/>
      <c r="Q83" s="96"/>
      <c r="R83" s="96"/>
      <c r="S83" s="96"/>
      <c r="T83" s="96"/>
      <c r="U83" s="96"/>
    </row>
    <row r="84" spans="1:21" s="100" customFormat="1" ht="15" customHeight="1">
      <c r="A84" s="98"/>
      <c r="B84" s="124" t="s">
        <v>192</v>
      </c>
      <c r="C84" s="98"/>
      <c r="D84" s="98"/>
      <c r="E84" s="98"/>
      <c r="F84" s="98"/>
      <c r="G84" s="141">
        <f>SFP!D26</f>
        <v>276</v>
      </c>
      <c r="H84" s="141">
        <f>G84</f>
        <v>276</v>
      </c>
      <c r="I84" s="141">
        <f>G84-H84</f>
        <v>0</v>
      </c>
      <c r="J84" s="98"/>
      <c r="K84" s="98"/>
      <c r="L84" s="150">
        <f>G84-SFP!D26</f>
        <v>0</v>
      </c>
      <c r="M84" s="96"/>
      <c r="N84" s="96"/>
      <c r="O84" s="96"/>
      <c r="P84" s="96"/>
      <c r="Q84" s="96"/>
      <c r="R84" s="96"/>
      <c r="S84" s="96"/>
      <c r="T84" s="96"/>
      <c r="U84" s="96"/>
    </row>
    <row r="85" spans="1:21" s="100" customFormat="1" ht="15" customHeight="1" hidden="1">
      <c r="A85" s="98"/>
      <c r="B85" s="124" t="s">
        <v>195</v>
      </c>
      <c r="C85" s="98"/>
      <c r="D85" s="98"/>
      <c r="E85" s="98"/>
      <c r="F85" s="98"/>
      <c r="G85" s="141">
        <f>-SCF!D66</f>
        <v>0</v>
      </c>
      <c r="H85" s="141">
        <f>G85</f>
        <v>0</v>
      </c>
      <c r="I85" s="141">
        <f>G85-H85</f>
        <v>0</v>
      </c>
      <c r="J85" s="98"/>
      <c r="K85" s="98"/>
      <c r="L85" s="151"/>
      <c r="M85" s="96"/>
      <c r="N85" s="96"/>
      <c r="O85" s="96"/>
      <c r="P85" s="96"/>
      <c r="Q85" s="96"/>
      <c r="R85" s="96"/>
      <c r="S85" s="96"/>
      <c r="T85" s="96"/>
      <c r="U85" s="96"/>
    </row>
    <row r="86" spans="1:21" s="100" customFormat="1" ht="15" customHeight="1" thickBot="1">
      <c r="A86" s="98"/>
      <c r="B86" s="98"/>
      <c r="C86" s="98"/>
      <c r="D86" s="98"/>
      <c r="E86" s="98"/>
      <c r="F86" s="98"/>
      <c r="G86" s="143">
        <f>SUM(G82:G85)</f>
        <v>17873</v>
      </c>
      <c r="H86" s="143">
        <f>SUM(H82:H85)</f>
        <v>17873</v>
      </c>
      <c r="I86" s="142">
        <f>SUM(I82:I85)</f>
        <v>0</v>
      </c>
      <c r="J86" s="98"/>
      <c r="K86" s="98"/>
      <c r="L86" s="151"/>
      <c r="M86" s="96"/>
      <c r="N86" s="96"/>
      <c r="O86" s="96"/>
      <c r="P86" s="96"/>
      <c r="Q86" s="96"/>
      <c r="R86" s="96"/>
      <c r="S86" s="96"/>
      <c r="T86" s="96"/>
      <c r="U86" s="96"/>
    </row>
    <row r="87" spans="1:11" s="96" customFormat="1" ht="15" customHeight="1" thickTop="1">
      <c r="A87" s="95"/>
      <c r="B87" s="95"/>
      <c r="C87" s="95"/>
      <c r="D87" s="95"/>
      <c r="E87" s="95"/>
      <c r="F87" s="95"/>
      <c r="G87" s="95"/>
      <c r="H87" s="95"/>
      <c r="I87" s="95"/>
      <c r="J87" s="95"/>
      <c r="K87" s="95"/>
    </row>
    <row r="88" spans="1:11" s="96" customFormat="1" ht="15" customHeight="1">
      <c r="A88" s="94" t="str">
        <f>"B"&amp;MID(A74,2,2)+1&amp;"."</f>
        <v>B10.</v>
      </c>
      <c r="B88" s="81" t="s">
        <v>196</v>
      </c>
      <c r="C88" s="95"/>
      <c r="D88" s="95"/>
      <c r="E88" s="95"/>
      <c r="F88" s="95"/>
      <c r="G88" s="95"/>
      <c r="H88" s="95"/>
      <c r="I88" s="95"/>
      <c r="J88" s="95"/>
      <c r="K88" s="95"/>
    </row>
    <row r="89" spans="1:11" s="96" customFormat="1" ht="21" customHeight="1">
      <c r="A89" s="95"/>
      <c r="B89" s="236" t="str">
        <f>"There were no off balance sheet financial instruments entered (or held) by the Group during the current quarter ended "&amp;SCI!G5&amp;"."</f>
        <v>There were no off balance sheet financial instruments entered (or held) by the Group during the current quarter ended 30/06/2011.</v>
      </c>
      <c r="C89" s="236"/>
      <c r="D89" s="236"/>
      <c r="E89" s="236"/>
      <c r="F89" s="236"/>
      <c r="G89" s="236"/>
      <c r="H89" s="236"/>
      <c r="I89" s="236"/>
      <c r="J89" s="236"/>
      <c r="K89" s="236"/>
    </row>
    <row r="90" spans="1:11" s="96" customFormat="1" ht="15" customHeight="1">
      <c r="A90" s="95"/>
      <c r="B90" s="95"/>
      <c r="C90" s="95"/>
      <c r="D90" s="95"/>
      <c r="E90" s="95"/>
      <c r="F90" s="95"/>
      <c r="G90" s="95"/>
      <c r="H90" s="95"/>
      <c r="I90" s="95"/>
      <c r="J90" s="95"/>
      <c r="K90" s="95"/>
    </row>
    <row r="91" spans="1:11" s="96" customFormat="1" ht="15" customHeight="1">
      <c r="A91" s="94" t="str">
        <f>"B"&amp;MID(A88,2,2)+1&amp;"."</f>
        <v>B11.</v>
      </c>
      <c r="B91" s="81" t="s">
        <v>197</v>
      </c>
      <c r="C91" s="95"/>
      <c r="D91" s="95"/>
      <c r="E91" s="95"/>
      <c r="F91" s="95"/>
      <c r="G91" s="95"/>
      <c r="H91" s="95"/>
      <c r="I91" s="95"/>
      <c r="J91" s="95"/>
      <c r="K91" s="95"/>
    </row>
    <row r="92" spans="1:11" s="96" customFormat="1" ht="21" customHeight="1">
      <c r="A92" s="95"/>
      <c r="B92" s="236" t="str">
        <f>"There were no  material litigations since the last fiancial year ended "&amp;SFP!F4&amp;" and up to current quarter ended "&amp;SCI!G5&amp;"."</f>
        <v>There were no  material litigations since the last fiancial year ended 31/12/2010 and up to current quarter ended 30/06/2011.</v>
      </c>
      <c r="C92" s="236"/>
      <c r="D92" s="236"/>
      <c r="E92" s="236"/>
      <c r="F92" s="236"/>
      <c r="G92" s="236"/>
      <c r="H92" s="236"/>
      <c r="I92" s="236"/>
      <c r="J92" s="236"/>
      <c r="K92" s="236"/>
    </row>
    <row r="93" spans="1:11" s="96" customFormat="1" ht="15" customHeight="1">
      <c r="A93" s="95"/>
      <c r="B93" s="95"/>
      <c r="C93" s="95"/>
      <c r="D93" s="95"/>
      <c r="E93" s="95"/>
      <c r="F93" s="95"/>
      <c r="G93" s="95"/>
      <c r="H93" s="95"/>
      <c r="I93" s="95"/>
      <c r="J93" s="95"/>
      <c r="K93" s="95"/>
    </row>
    <row r="94" spans="1:11" s="96" customFormat="1" ht="15" customHeight="1">
      <c r="A94" s="94" t="str">
        <f>"B"&amp;MID(A91,2,2)+1&amp;"."</f>
        <v>B12.</v>
      </c>
      <c r="B94" s="81" t="s">
        <v>198</v>
      </c>
      <c r="C94" s="95"/>
      <c r="D94" s="95"/>
      <c r="E94" s="95"/>
      <c r="F94" s="95"/>
      <c r="G94" s="95"/>
      <c r="H94" s="95"/>
      <c r="I94" s="95"/>
      <c r="J94" s="95"/>
      <c r="K94" s="95"/>
    </row>
    <row r="95" spans="1:11" s="96" customFormat="1" ht="15" customHeight="1">
      <c r="A95" s="95"/>
      <c r="B95" s="236" t="str">
        <f>"The Directors do not recommend any dividend for the quarter ended "&amp;SCI!G5&amp;"."</f>
        <v>The Directors do not recommend any dividend for the quarter ended 30/06/2011.</v>
      </c>
      <c r="C95" s="236"/>
      <c r="D95" s="236"/>
      <c r="E95" s="236"/>
      <c r="F95" s="236"/>
      <c r="G95" s="236"/>
      <c r="H95" s="236"/>
      <c r="I95" s="236"/>
      <c r="J95" s="236"/>
      <c r="K95" s="236"/>
    </row>
    <row r="96" spans="1:11" s="96" customFormat="1" ht="15" customHeight="1">
      <c r="A96" s="95"/>
      <c r="B96" s="95"/>
      <c r="C96" s="95"/>
      <c r="D96" s="95"/>
      <c r="E96" s="95"/>
      <c r="F96" s="95"/>
      <c r="G96" s="95"/>
      <c r="H96" s="95"/>
      <c r="I96" s="95"/>
      <c r="J96" s="95"/>
      <c r="K96" s="95"/>
    </row>
    <row r="97" spans="1:11" s="96" customFormat="1" ht="15" customHeight="1">
      <c r="A97" s="94" t="str">
        <f>"B"&amp;MID(A94,2,2)+1&amp;"."</f>
        <v>B13.</v>
      </c>
      <c r="B97" s="81" t="s">
        <v>199</v>
      </c>
      <c r="C97" s="95"/>
      <c r="D97" s="95"/>
      <c r="E97" s="95"/>
      <c r="F97" s="95"/>
      <c r="G97" s="95"/>
      <c r="H97" s="95"/>
      <c r="I97" s="95"/>
      <c r="J97" s="95"/>
      <c r="K97" s="95"/>
    </row>
    <row r="98" spans="1:11" s="96" customFormat="1" ht="21" customHeight="1">
      <c r="A98" s="95"/>
      <c r="B98" s="238" t="str">
        <f>"(a) The earnigs used as the numerator in calculating Basic and Diluted earnings per share (EPS) for the current quarter     ended "&amp;SCI!G5&amp;" are as follows:"</f>
        <v>(a) The earnigs used as the numerator in calculating Basic and Diluted earnings per share (EPS) for the current quarter     ended 30/06/2011 are as follows:</v>
      </c>
      <c r="C98" s="238"/>
      <c r="D98" s="238"/>
      <c r="E98" s="238"/>
      <c r="F98" s="238"/>
      <c r="G98" s="238"/>
      <c r="H98" s="238"/>
      <c r="I98" s="238"/>
      <c r="J98" s="238"/>
      <c r="K98" s="238"/>
    </row>
    <row r="99" spans="1:11" s="96" customFormat="1" ht="10.5">
      <c r="A99" s="95"/>
      <c r="B99" s="82"/>
      <c r="C99" s="95"/>
      <c r="D99" s="95"/>
      <c r="E99" s="95"/>
      <c r="F99" s="95"/>
      <c r="G99" s="95"/>
      <c r="H99" s="104" t="s">
        <v>157</v>
      </c>
      <c r="I99" s="95"/>
      <c r="J99" s="104" t="s">
        <v>114</v>
      </c>
      <c r="K99" s="95"/>
    </row>
    <row r="100" spans="1:11" s="96" customFormat="1" ht="10.5">
      <c r="A100" s="95"/>
      <c r="B100" s="82"/>
      <c r="C100" s="95"/>
      <c r="D100" s="95"/>
      <c r="E100" s="95"/>
      <c r="F100" s="95"/>
      <c r="G100" s="95"/>
      <c r="H100" s="104" t="s">
        <v>158</v>
      </c>
      <c r="I100" s="95"/>
      <c r="J100" s="104" t="str">
        <f>SCI!G4</f>
        <v>6 months ended </v>
      </c>
      <c r="K100" s="95"/>
    </row>
    <row r="101" spans="1:11" s="96" customFormat="1" ht="10.5">
      <c r="A101" s="95"/>
      <c r="B101" s="95"/>
      <c r="C101" s="95"/>
      <c r="D101" s="95"/>
      <c r="E101" s="95"/>
      <c r="F101" s="95"/>
      <c r="G101" s="95"/>
      <c r="H101" s="122" t="str">
        <f>SCI!D5</f>
        <v>30/06/2011</v>
      </c>
      <c r="I101" s="95"/>
      <c r="J101" s="122" t="str">
        <f>SCI!G5</f>
        <v>30/06/2011</v>
      </c>
      <c r="K101" s="95"/>
    </row>
    <row r="102" spans="1:11" s="96" customFormat="1" ht="10.5">
      <c r="A102" s="95"/>
      <c r="B102" s="95"/>
      <c r="C102" s="95"/>
      <c r="D102" s="95"/>
      <c r="E102" s="95"/>
      <c r="F102" s="95"/>
      <c r="G102" s="95"/>
      <c r="H102" s="129" t="s">
        <v>1</v>
      </c>
      <c r="I102" s="98"/>
      <c r="J102" s="129" t="s">
        <v>1</v>
      </c>
      <c r="K102" s="95"/>
    </row>
    <row r="103" spans="1:11" s="96" customFormat="1" ht="21" customHeight="1" thickBot="1">
      <c r="A103" s="95"/>
      <c r="B103" s="239" t="s">
        <v>206</v>
      </c>
      <c r="C103" s="239"/>
      <c r="D103" s="239"/>
      <c r="E103" s="239"/>
      <c r="F103" s="239"/>
      <c r="G103" s="239"/>
      <c r="H103" s="192">
        <f>SCI!D27</f>
        <v>1306</v>
      </c>
      <c r="I103" s="106"/>
      <c r="J103" s="192">
        <f>SCI!G27</f>
        <v>1954</v>
      </c>
      <c r="K103" s="95"/>
    </row>
    <row r="104" spans="1:11" s="96" customFormat="1" ht="21" customHeight="1" hidden="1" thickTop="1">
      <c r="A104" s="95"/>
      <c r="B104" s="239" t="s">
        <v>200</v>
      </c>
      <c r="C104" s="239"/>
      <c r="D104" s="239"/>
      <c r="E104" s="239"/>
      <c r="F104" s="239"/>
      <c r="G104" s="239"/>
      <c r="H104" s="145">
        <v>0</v>
      </c>
      <c r="I104" s="106"/>
      <c r="J104" s="145">
        <v>0</v>
      </c>
      <c r="K104" s="95"/>
    </row>
    <row r="105" spans="1:11" s="96" customFormat="1" ht="21" customHeight="1" hidden="1" thickBot="1">
      <c r="A105" s="95"/>
      <c r="B105" s="239" t="s">
        <v>201</v>
      </c>
      <c r="C105" s="239"/>
      <c r="D105" s="239"/>
      <c r="E105" s="239"/>
      <c r="F105" s="239"/>
      <c r="G105" s="239"/>
      <c r="H105" s="146">
        <f>SUM(H103:H104)</f>
        <v>1306</v>
      </c>
      <c r="I105" s="147"/>
      <c r="J105" s="146">
        <f>SUM(J103:J104)</f>
        <v>1954</v>
      </c>
      <c r="K105" s="95"/>
    </row>
    <row r="106" spans="1:11" s="96" customFormat="1" ht="15" customHeight="1" thickTop="1">
      <c r="A106" s="95"/>
      <c r="B106" s="95"/>
      <c r="C106" s="95"/>
      <c r="D106" s="95"/>
      <c r="E106" s="95"/>
      <c r="F106" s="95"/>
      <c r="G106" s="95"/>
      <c r="H106" s="95"/>
      <c r="I106" s="95"/>
      <c r="J106" s="95"/>
      <c r="K106" s="95"/>
    </row>
    <row r="107" spans="1:11" s="96" customFormat="1" ht="21" customHeight="1">
      <c r="A107" s="95"/>
      <c r="B107" s="236" t="str">
        <f>"(b) The weighted average number of ordinary shares used in the denominator in calculating Basic and Diluted earnings per     share for the current financial period ended "&amp;SCI!G14&amp;" are as follows:"</f>
        <v>(b) The weighted average number of ordinary shares used in the denominator in calculating Basic and Diluted earnings per     share for the current financial period ended  are as follows:</v>
      </c>
      <c r="C107" s="236"/>
      <c r="D107" s="236"/>
      <c r="E107" s="236"/>
      <c r="F107" s="236"/>
      <c r="G107" s="236"/>
      <c r="H107" s="236"/>
      <c r="I107" s="236"/>
      <c r="J107" s="236"/>
      <c r="K107" s="236"/>
    </row>
    <row r="108" spans="1:11" s="96" customFormat="1" ht="10.5">
      <c r="A108" s="95"/>
      <c r="B108" s="82"/>
      <c r="C108" s="95"/>
      <c r="D108" s="95"/>
      <c r="E108" s="95"/>
      <c r="F108" s="95"/>
      <c r="G108" s="95"/>
      <c r="H108" s="104" t="s">
        <v>157</v>
      </c>
      <c r="I108" s="95"/>
      <c r="J108" s="104" t="s">
        <v>114</v>
      </c>
      <c r="K108" s="95"/>
    </row>
    <row r="109" spans="1:11" s="96" customFormat="1" ht="10.5">
      <c r="A109" s="95"/>
      <c r="B109" s="82"/>
      <c r="C109" s="95"/>
      <c r="D109" s="95"/>
      <c r="E109" s="95"/>
      <c r="F109" s="95"/>
      <c r="G109" s="95"/>
      <c r="H109" s="104" t="s">
        <v>158</v>
      </c>
      <c r="I109" s="95"/>
      <c r="J109" s="104" t="str">
        <f>SCI!G4</f>
        <v>6 months ended </v>
      </c>
      <c r="K109" s="95"/>
    </row>
    <row r="110" spans="1:11" s="96" customFormat="1" ht="10.5">
      <c r="A110" s="95"/>
      <c r="B110" s="95"/>
      <c r="C110" s="95"/>
      <c r="D110" s="95"/>
      <c r="E110" s="95"/>
      <c r="F110" s="95"/>
      <c r="G110" s="95"/>
      <c r="H110" s="122" t="str">
        <f>SCI!D5</f>
        <v>30/06/2011</v>
      </c>
      <c r="I110" s="95"/>
      <c r="J110" s="122" t="str">
        <f>SCI!G5</f>
        <v>30/06/2011</v>
      </c>
      <c r="K110" s="95"/>
    </row>
    <row r="111" spans="1:11" s="96" customFormat="1" ht="10.5">
      <c r="A111" s="95"/>
      <c r="B111" s="95"/>
      <c r="C111" s="95"/>
      <c r="D111" s="95"/>
      <c r="E111" s="95"/>
      <c r="F111" s="95"/>
      <c r="G111" s="95"/>
      <c r="H111" s="144" t="s">
        <v>202</v>
      </c>
      <c r="I111" s="98"/>
      <c r="J111" s="144" t="s">
        <v>202</v>
      </c>
      <c r="K111" s="95"/>
    </row>
    <row r="112" spans="1:11" s="96" customFormat="1" ht="21" customHeight="1" thickBot="1">
      <c r="A112" s="95"/>
      <c r="B112" s="239" t="s">
        <v>207</v>
      </c>
      <c r="C112" s="239"/>
      <c r="D112" s="239"/>
      <c r="E112" s="239"/>
      <c r="F112" s="239"/>
      <c r="G112" s="239"/>
      <c r="H112" s="192">
        <f>(75876+20124/12*6)</f>
        <v>85938</v>
      </c>
      <c r="I112" s="106"/>
      <c r="J112" s="192">
        <v>75000</v>
      </c>
      <c r="K112" s="95"/>
    </row>
    <row r="113" spans="1:11" s="96" customFormat="1" ht="15" customHeight="1" hidden="1" thickTop="1">
      <c r="A113" s="95"/>
      <c r="B113" s="241" t="s">
        <v>203</v>
      </c>
      <c r="C113" s="241"/>
      <c r="D113" s="241"/>
      <c r="E113" s="241"/>
      <c r="F113" s="241"/>
      <c r="G113" s="241"/>
      <c r="H113" s="113">
        <v>0</v>
      </c>
      <c r="I113" s="132"/>
      <c r="J113" s="113">
        <v>0</v>
      </c>
      <c r="K113" s="95"/>
    </row>
    <row r="114" spans="1:11" s="96" customFormat="1" ht="15" customHeight="1" hidden="1">
      <c r="A114" s="95"/>
      <c r="B114" s="241" t="s">
        <v>204</v>
      </c>
      <c r="C114" s="241"/>
      <c r="D114" s="241"/>
      <c r="E114" s="241"/>
      <c r="F114" s="241"/>
      <c r="G114" s="241"/>
      <c r="H114" s="113">
        <v>0</v>
      </c>
      <c r="I114" s="132"/>
      <c r="J114" s="113">
        <v>0</v>
      </c>
      <c r="K114" s="95"/>
    </row>
    <row r="115" spans="1:11" s="96" customFormat="1" ht="21" customHeight="1" hidden="1" thickBot="1">
      <c r="A115" s="95"/>
      <c r="B115" s="239" t="s">
        <v>208</v>
      </c>
      <c r="C115" s="239"/>
      <c r="D115" s="239"/>
      <c r="E115" s="239"/>
      <c r="F115" s="239"/>
      <c r="G115" s="239"/>
      <c r="H115" s="146">
        <f>SUM(H112:H114)</f>
        <v>85938</v>
      </c>
      <c r="I115" s="147"/>
      <c r="J115" s="146">
        <f>SUM(J112:J114)</f>
        <v>75000</v>
      </c>
      <c r="K115" s="95"/>
    </row>
    <row r="116" spans="1:11" s="96" customFormat="1" ht="15" customHeight="1" thickTop="1">
      <c r="A116" s="95"/>
      <c r="B116" s="95"/>
      <c r="C116" s="95"/>
      <c r="D116" s="95"/>
      <c r="E116" s="95"/>
      <c r="F116" s="95"/>
      <c r="G116" s="95"/>
      <c r="H116" s="95"/>
      <c r="I116" s="95"/>
      <c r="J116" s="95"/>
      <c r="K116" s="95"/>
    </row>
    <row r="117" spans="1:21" s="96" customFormat="1" ht="21" customHeight="1">
      <c r="A117" s="95"/>
      <c r="B117" s="236" t="s">
        <v>205</v>
      </c>
      <c r="C117" s="236"/>
      <c r="D117" s="236"/>
      <c r="E117" s="236"/>
      <c r="F117" s="236"/>
      <c r="G117" s="236"/>
      <c r="H117" s="236"/>
      <c r="I117" s="236"/>
      <c r="J117" s="236"/>
      <c r="K117" s="236"/>
      <c r="L117" s="100"/>
      <c r="M117" s="100"/>
      <c r="N117" s="100"/>
      <c r="O117" s="100"/>
      <c r="P117" s="100"/>
      <c r="Q117" s="100"/>
      <c r="R117" s="100"/>
      <c r="S117" s="100"/>
      <c r="T117" s="100"/>
      <c r="U117" s="100"/>
    </row>
    <row r="118" spans="1:21" s="96" customFormat="1" ht="15" customHeight="1">
      <c r="A118" s="95"/>
      <c r="B118" s="95"/>
      <c r="C118" s="95"/>
      <c r="D118" s="95"/>
      <c r="E118" s="95"/>
      <c r="F118" s="95"/>
      <c r="G118" s="95"/>
      <c r="H118" s="95"/>
      <c r="I118" s="95"/>
      <c r="J118" s="95"/>
      <c r="K118" s="95"/>
      <c r="L118" s="100"/>
      <c r="M118" s="100"/>
      <c r="N118" s="100"/>
      <c r="O118" s="100"/>
      <c r="P118" s="100"/>
      <c r="Q118" s="100"/>
      <c r="R118" s="100"/>
      <c r="S118" s="100"/>
      <c r="T118" s="100"/>
      <c r="U118" s="100"/>
    </row>
    <row r="119" spans="1:21" s="96" customFormat="1" ht="10.5">
      <c r="A119" s="94" t="str">
        <f>"B"&amp;MID(A97,2,2)+1&amp;"."</f>
        <v>B14.</v>
      </c>
      <c r="B119" s="81" t="s">
        <v>226</v>
      </c>
      <c r="C119" s="95"/>
      <c r="D119" s="95"/>
      <c r="E119" s="95"/>
      <c r="F119" s="95"/>
      <c r="G119" s="95"/>
      <c r="H119" s="95"/>
      <c r="I119" s="95"/>
      <c r="J119" s="95"/>
      <c r="K119" s="95"/>
      <c r="L119" s="100"/>
      <c r="M119" s="100"/>
      <c r="N119" s="100"/>
      <c r="O119" s="100"/>
      <c r="P119" s="100"/>
      <c r="Q119" s="100"/>
      <c r="R119" s="100"/>
      <c r="S119" s="100"/>
      <c r="T119" s="100"/>
      <c r="U119" s="100"/>
    </row>
    <row r="120" spans="1:21" s="96" customFormat="1" ht="10.5">
      <c r="A120" s="95"/>
      <c r="B120" s="82"/>
      <c r="C120" s="95"/>
      <c r="D120" s="95"/>
      <c r="E120" s="95"/>
      <c r="F120" s="95"/>
      <c r="G120" s="95"/>
      <c r="H120" s="104"/>
      <c r="I120" s="95"/>
      <c r="J120" s="122" t="str">
        <f>SCI!G5</f>
        <v>30/06/2011</v>
      </c>
      <c r="K120" s="95"/>
      <c r="L120" s="100"/>
      <c r="M120" s="100"/>
      <c r="N120" s="100"/>
      <c r="O120" s="100"/>
      <c r="P120" s="100"/>
      <c r="Q120" s="100"/>
      <c r="R120" s="100"/>
      <c r="S120" s="100"/>
      <c r="T120" s="100"/>
      <c r="U120" s="100"/>
    </row>
    <row r="121" spans="1:11" s="96" customFormat="1" ht="10.5">
      <c r="A121" s="95"/>
      <c r="B121" s="82"/>
      <c r="C121" s="95"/>
      <c r="D121" s="95"/>
      <c r="E121" s="95"/>
      <c r="F121" s="95"/>
      <c r="G121" s="95"/>
      <c r="H121" s="104"/>
      <c r="I121" s="95"/>
      <c r="J121" s="129" t="s">
        <v>1</v>
      </c>
      <c r="K121" s="95"/>
    </row>
    <row r="122" spans="1:21" s="100" customFormat="1" ht="10.5">
      <c r="A122" s="98"/>
      <c r="B122" s="222" t="s">
        <v>229</v>
      </c>
      <c r="C122" s="98"/>
      <c r="D122" s="98"/>
      <c r="E122" s="98"/>
      <c r="F122" s="98"/>
      <c r="G122" s="98"/>
      <c r="H122" s="123"/>
      <c r="I122" s="98"/>
      <c r="J122" s="123"/>
      <c r="K122" s="98"/>
      <c r="L122" s="85"/>
      <c r="M122" s="85"/>
      <c r="N122" s="85"/>
      <c r="O122" s="85"/>
      <c r="P122" s="85"/>
      <c r="Q122" s="85"/>
      <c r="R122" s="85"/>
      <c r="S122" s="85"/>
      <c r="T122" s="85"/>
      <c r="U122" s="85"/>
    </row>
    <row r="123" spans="1:21" s="100" customFormat="1" ht="15" customHeight="1">
      <c r="A123" s="98"/>
      <c r="B123" s="134" t="s">
        <v>227</v>
      </c>
      <c r="C123" s="98"/>
      <c r="D123" s="98"/>
      <c r="E123" s="98"/>
      <c r="F123" s="98"/>
      <c r="G123" s="98"/>
      <c r="H123" s="123"/>
      <c r="I123" s="98"/>
      <c r="J123" s="103">
        <f>J125-J124</f>
        <v>8744</v>
      </c>
      <c r="K123" s="98"/>
      <c r="L123" s="85"/>
      <c r="M123" s="85"/>
      <c r="N123" s="85"/>
      <c r="O123" s="85"/>
      <c r="P123" s="85"/>
      <c r="Q123" s="85"/>
      <c r="R123" s="85"/>
      <c r="S123" s="85"/>
      <c r="T123" s="85"/>
      <c r="U123" s="85"/>
    </row>
    <row r="124" spans="1:21" s="100" customFormat="1" ht="15" customHeight="1">
      <c r="A124" s="98"/>
      <c r="B124" s="134" t="s">
        <v>228</v>
      </c>
      <c r="C124" s="98"/>
      <c r="D124" s="98"/>
      <c r="E124" s="98"/>
      <c r="F124" s="98"/>
      <c r="G124" s="98"/>
      <c r="H124" s="123"/>
      <c r="I124" s="98"/>
      <c r="J124" s="198">
        <f>SFP!D11-SFP!D32</f>
        <v>546</v>
      </c>
      <c r="K124" s="98"/>
      <c r="L124" s="85"/>
      <c r="M124" s="85"/>
      <c r="N124" s="85"/>
      <c r="O124" s="85"/>
      <c r="P124" s="85"/>
      <c r="Q124" s="85"/>
      <c r="R124" s="85"/>
      <c r="S124" s="85"/>
      <c r="T124" s="85"/>
      <c r="U124" s="85"/>
    </row>
    <row r="125" spans="1:21" s="100" customFormat="1" ht="15" customHeight="1">
      <c r="A125" s="98"/>
      <c r="B125" s="124"/>
      <c r="C125" s="98"/>
      <c r="D125" s="98"/>
      <c r="E125" s="98"/>
      <c r="F125" s="98"/>
      <c r="G125" s="98"/>
      <c r="H125" s="123"/>
      <c r="I125" s="98"/>
      <c r="J125" s="189">
        <f>ROUND((2534613.32+66331.5+1283585.63+4827683.99-131004.25+353236.92-12944.95)/1000,0)+368</f>
        <v>9290</v>
      </c>
      <c r="K125" s="98"/>
      <c r="L125" s="220"/>
      <c r="M125" s="85"/>
      <c r="N125" s="85"/>
      <c r="O125" s="85"/>
      <c r="P125" s="85"/>
      <c r="Q125" s="85"/>
      <c r="R125" s="85"/>
      <c r="S125" s="85"/>
      <c r="T125" s="85"/>
      <c r="U125" s="85"/>
    </row>
    <row r="126" spans="1:21" s="100" customFormat="1" ht="15" customHeight="1">
      <c r="A126" s="98"/>
      <c r="B126" s="124" t="s">
        <v>230</v>
      </c>
      <c r="C126" s="98"/>
      <c r="D126" s="98"/>
      <c r="E126" s="98"/>
      <c r="F126" s="98"/>
      <c r="G126" s="98"/>
      <c r="H126" s="123"/>
      <c r="I126" s="98"/>
      <c r="J126" s="189"/>
      <c r="K126" s="98"/>
      <c r="L126" s="85"/>
      <c r="M126" s="85"/>
      <c r="N126" s="85"/>
      <c r="O126" s="85"/>
      <c r="P126" s="85"/>
      <c r="Q126" s="85"/>
      <c r="R126" s="85"/>
      <c r="S126" s="85"/>
      <c r="T126" s="85"/>
      <c r="U126" s="85"/>
    </row>
    <row r="127" spans="1:21" s="100" customFormat="1" ht="15" customHeight="1">
      <c r="A127" s="98"/>
      <c r="B127" s="134" t="s">
        <v>227</v>
      </c>
      <c r="C127" s="98"/>
      <c r="D127" s="98"/>
      <c r="E127" s="98"/>
      <c r="F127" s="98"/>
      <c r="G127" s="98"/>
      <c r="H127" s="123"/>
      <c r="I127" s="98"/>
      <c r="J127" s="103">
        <f>ROUND(1668060.82/1000,0)</f>
        <v>1668</v>
      </c>
      <c r="K127" s="98"/>
      <c r="L127" s="85"/>
      <c r="M127" s="85"/>
      <c r="N127" s="85"/>
      <c r="O127" s="85"/>
      <c r="P127" s="85"/>
      <c r="Q127" s="85"/>
      <c r="R127" s="85"/>
      <c r="S127" s="85"/>
      <c r="T127" s="85"/>
      <c r="U127" s="85"/>
    </row>
    <row r="128" spans="1:21" s="100" customFormat="1" ht="15" customHeight="1" hidden="1">
      <c r="A128" s="98"/>
      <c r="B128" s="134" t="s">
        <v>228</v>
      </c>
      <c r="C128" s="98"/>
      <c r="D128" s="98"/>
      <c r="E128" s="98"/>
      <c r="F128" s="98"/>
      <c r="G128" s="98"/>
      <c r="H128" s="144"/>
      <c r="I128" s="98"/>
      <c r="J128" s="189">
        <v>0</v>
      </c>
      <c r="K128" s="98"/>
      <c r="L128" s="85"/>
      <c r="M128" s="85"/>
      <c r="N128" s="85"/>
      <c r="O128" s="85"/>
      <c r="P128" s="85"/>
      <c r="Q128" s="85"/>
      <c r="R128" s="85"/>
      <c r="S128" s="85"/>
      <c r="T128" s="85"/>
      <c r="U128" s="85"/>
    </row>
    <row r="129" spans="1:21" s="100" customFormat="1" ht="15" customHeight="1" hidden="1">
      <c r="A129" s="98"/>
      <c r="B129" s="134"/>
      <c r="C129" s="98"/>
      <c r="D129" s="98"/>
      <c r="E129" s="98"/>
      <c r="F129" s="98"/>
      <c r="G129" s="98"/>
      <c r="H129" s="144"/>
      <c r="I129" s="98"/>
      <c r="J129" s="219">
        <f>SUM(J125:J128)</f>
        <v>10958</v>
      </c>
      <c r="K129" s="98"/>
      <c r="L129" s="85"/>
      <c r="M129" s="85"/>
      <c r="N129" s="85"/>
      <c r="O129" s="85"/>
      <c r="P129" s="85"/>
      <c r="Q129" s="85"/>
      <c r="R129" s="85"/>
      <c r="S129" s="85"/>
      <c r="T129" s="85"/>
      <c r="U129" s="85"/>
    </row>
    <row r="130" spans="1:21" s="100" customFormat="1" ht="15" customHeight="1" hidden="1">
      <c r="A130" s="98"/>
      <c r="B130" s="124" t="s">
        <v>231</v>
      </c>
      <c r="C130" s="98"/>
      <c r="D130" s="98"/>
      <c r="E130" s="98"/>
      <c r="F130" s="98"/>
      <c r="G130" s="98"/>
      <c r="H130" s="144"/>
      <c r="I130" s="98"/>
      <c r="J130" s="189">
        <v>0</v>
      </c>
      <c r="K130" s="98"/>
      <c r="L130" s="85"/>
      <c r="M130" s="85"/>
      <c r="N130" s="85"/>
      <c r="O130" s="85"/>
      <c r="P130" s="85"/>
      <c r="Q130" s="85"/>
      <c r="R130" s="85"/>
      <c r="S130" s="85"/>
      <c r="T130" s="85"/>
      <c r="U130" s="85"/>
    </row>
    <row r="131" spans="1:21" s="100" customFormat="1" ht="15" customHeight="1" thickBot="1">
      <c r="A131" s="98"/>
      <c r="B131" s="124" t="s">
        <v>258</v>
      </c>
      <c r="C131" s="98"/>
      <c r="D131" s="98"/>
      <c r="E131" s="98"/>
      <c r="F131" s="98"/>
      <c r="G131" s="98"/>
      <c r="H131" s="144"/>
      <c r="I131" s="98"/>
      <c r="J131" s="128">
        <f>SUM(J129:J130)</f>
        <v>10958</v>
      </c>
      <c r="K131" s="98"/>
      <c r="L131" s="221">
        <f>J131-SCE!F24</f>
        <v>0</v>
      </c>
      <c r="M131" s="85"/>
      <c r="N131" s="85"/>
      <c r="O131" s="85"/>
      <c r="P131" s="85"/>
      <c r="Q131" s="85"/>
      <c r="R131" s="85"/>
      <c r="S131" s="85"/>
      <c r="T131" s="85"/>
      <c r="U131" s="85"/>
    </row>
    <row r="132" spans="1:21" s="96" customFormat="1" ht="15" customHeight="1" thickTop="1">
      <c r="A132" s="95"/>
      <c r="B132" s="95"/>
      <c r="C132" s="95"/>
      <c r="D132" s="95"/>
      <c r="E132" s="95"/>
      <c r="F132" s="95"/>
      <c r="G132" s="95"/>
      <c r="H132" s="95"/>
      <c r="I132" s="95"/>
      <c r="J132" s="95"/>
      <c r="K132" s="95"/>
      <c r="L132" s="85"/>
      <c r="M132" s="85"/>
      <c r="N132" s="85"/>
      <c r="O132" s="85"/>
      <c r="P132" s="85"/>
      <c r="Q132" s="85"/>
      <c r="R132" s="85"/>
      <c r="S132" s="85"/>
      <c r="T132" s="85"/>
      <c r="U132" s="85"/>
    </row>
    <row r="133" spans="1:21" s="96" customFormat="1" ht="15" customHeight="1">
      <c r="A133" s="94" t="str">
        <f>"B"&amp;MID(A119,2,2)+1&amp;"."</f>
        <v>B15.</v>
      </c>
      <c r="B133" s="81" t="s">
        <v>209</v>
      </c>
      <c r="C133" s="95"/>
      <c r="D133" s="95"/>
      <c r="E133" s="95"/>
      <c r="F133" s="95"/>
      <c r="G133" s="95"/>
      <c r="H133" s="95"/>
      <c r="I133" s="95"/>
      <c r="J133" s="95"/>
      <c r="K133" s="95"/>
      <c r="L133" s="100"/>
      <c r="M133" s="100"/>
      <c r="N133" s="100"/>
      <c r="O133" s="100"/>
      <c r="P133" s="100"/>
      <c r="Q133" s="100"/>
      <c r="R133" s="100"/>
      <c r="S133" s="100"/>
      <c r="T133" s="100"/>
      <c r="U133" s="100"/>
    </row>
    <row r="134" spans="1:21" s="96" customFormat="1" ht="21" customHeight="1">
      <c r="A134" s="95"/>
      <c r="B134" s="236" t="s">
        <v>210</v>
      </c>
      <c r="C134" s="236"/>
      <c r="D134" s="236"/>
      <c r="E134" s="236"/>
      <c r="F134" s="236"/>
      <c r="G134" s="236"/>
      <c r="H134" s="236"/>
      <c r="I134" s="236"/>
      <c r="J134" s="236"/>
      <c r="K134" s="236"/>
      <c r="L134" s="100"/>
      <c r="M134" s="100"/>
      <c r="N134" s="100"/>
      <c r="O134" s="100"/>
      <c r="P134" s="100"/>
      <c r="Q134" s="100"/>
      <c r="R134" s="100"/>
      <c r="S134" s="100"/>
      <c r="T134" s="100"/>
      <c r="U134" s="100"/>
    </row>
    <row r="135" spans="1:21" s="96" customFormat="1" ht="15" customHeight="1">
      <c r="A135" s="95"/>
      <c r="B135" s="95"/>
      <c r="C135" s="95"/>
      <c r="D135" s="95"/>
      <c r="E135" s="95"/>
      <c r="F135" s="95"/>
      <c r="G135" s="95"/>
      <c r="H135" s="95"/>
      <c r="I135" s="95"/>
      <c r="J135" s="95"/>
      <c r="K135" s="95"/>
      <c r="L135" s="100"/>
      <c r="M135" s="100"/>
      <c r="N135" s="100"/>
      <c r="O135" s="100"/>
      <c r="P135" s="100"/>
      <c r="Q135" s="100"/>
      <c r="R135" s="100"/>
      <c r="S135" s="100"/>
      <c r="T135" s="100"/>
      <c r="U135" s="100"/>
    </row>
    <row r="136" spans="1:21" s="96" customFormat="1" ht="15" customHeight="1">
      <c r="A136" s="94" t="str">
        <f>"B"&amp;MID(A133,2,2)+1&amp;"."</f>
        <v>B16.</v>
      </c>
      <c r="B136" s="81" t="s">
        <v>223</v>
      </c>
      <c r="C136" s="95"/>
      <c r="D136" s="95"/>
      <c r="E136" s="95"/>
      <c r="F136" s="95"/>
      <c r="G136" s="95"/>
      <c r="H136" s="95"/>
      <c r="I136" s="95"/>
      <c r="J136" s="95"/>
      <c r="K136" s="95"/>
      <c r="L136" s="100"/>
      <c r="M136" s="100"/>
      <c r="N136" s="100"/>
      <c r="O136" s="100"/>
      <c r="P136" s="100"/>
      <c r="Q136" s="100"/>
      <c r="R136" s="100"/>
      <c r="S136" s="100"/>
      <c r="T136" s="100"/>
      <c r="U136" s="100"/>
    </row>
    <row r="137" spans="1:21" s="96" customFormat="1" ht="21" customHeight="1">
      <c r="A137" s="95"/>
      <c r="B137" s="236" t="s">
        <v>274</v>
      </c>
      <c r="C137" s="236"/>
      <c r="D137" s="236"/>
      <c r="E137" s="236"/>
      <c r="F137" s="236"/>
      <c r="G137" s="236"/>
      <c r="H137" s="236"/>
      <c r="I137" s="236"/>
      <c r="J137" s="236"/>
      <c r="K137" s="236"/>
      <c r="L137" s="100"/>
      <c r="M137" s="100"/>
      <c r="N137" s="100"/>
      <c r="O137" s="100"/>
      <c r="P137" s="100"/>
      <c r="Q137" s="100"/>
      <c r="R137" s="100"/>
      <c r="S137" s="100"/>
      <c r="T137" s="100"/>
      <c r="U137" s="100"/>
    </row>
    <row r="138" spans="1:21" s="96" customFormat="1" ht="15" customHeight="1">
      <c r="A138" s="95"/>
      <c r="B138" s="95"/>
      <c r="C138" s="95"/>
      <c r="D138" s="95"/>
      <c r="E138" s="95"/>
      <c r="F138" s="95"/>
      <c r="G138" s="95"/>
      <c r="H138" s="95"/>
      <c r="I138" s="95"/>
      <c r="J138" s="95"/>
      <c r="K138" s="95"/>
      <c r="L138" s="100"/>
      <c r="M138" s="100"/>
      <c r="N138" s="100"/>
      <c r="O138" s="100"/>
      <c r="P138" s="100"/>
      <c r="Q138" s="100"/>
      <c r="R138" s="100"/>
      <c r="S138" s="100"/>
      <c r="T138" s="100"/>
      <c r="U138" s="100"/>
    </row>
  </sheetData>
  <sheetProtection password="DCC4" sheet="1" objects="1" scenarios="1"/>
  <mergeCells count="33">
    <mergeCell ref="G38:J38"/>
    <mergeCell ref="B16:K16"/>
    <mergeCell ref="B10:K10"/>
    <mergeCell ref="I66:K66"/>
    <mergeCell ref="B66:C66"/>
    <mergeCell ref="G39:J39"/>
    <mergeCell ref="B134:K134"/>
    <mergeCell ref="B112:G112"/>
    <mergeCell ref="B113:G113"/>
    <mergeCell ref="B114:G114"/>
    <mergeCell ref="B115:G115"/>
    <mergeCell ref="B117:K117"/>
    <mergeCell ref="B107:K107"/>
    <mergeCell ref="B75:K75"/>
    <mergeCell ref="B89:K89"/>
    <mergeCell ref="B55:K55"/>
    <mergeCell ref="B58:K58"/>
    <mergeCell ref="B104:G104"/>
    <mergeCell ref="B105:G105"/>
    <mergeCell ref="B92:K92"/>
    <mergeCell ref="B95:K95"/>
    <mergeCell ref="B98:K98"/>
    <mergeCell ref="B103:G103"/>
    <mergeCell ref="B137:K137"/>
    <mergeCell ref="A5:K5"/>
    <mergeCell ref="B8:K8"/>
    <mergeCell ref="B13:K13"/>
    <mergeCell ref="B64:K64"/>
    <mergeCell ref="B9:K9"/>
    <mergeCell ref="B19:K19"/>
    <mergeCell ref="B65:K65"/>
    <mergeCell ref="B62:K62"/>
    <mergeCell ref="B61:K61"/>
  </mergeCells>
  <printOptions/>
  <pageMargins left="0.3937007874015748" right="0.3937007874015748" top="0.3937007874015748" bottom="0.3937007874015748" header="0.31496062992125984" footer="0.31496062992125984"/>
  <pageSetup horizontalDpi="600" verticalDpi="600" orientation="portrait" paperSize="9" r:id="rId2"/>
  <rowBreaks count="2" manualBreakCount="2">
    <brk id="37" max="10" man="1"/>
    <brk id="87"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 Seng Seng Corporation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Tsen Ket Shung</dc:creator>
  <cp:keywords/>
  <dc:description/>
  <cp:lastModifiedBy> </cp:lastModifiedBy>
  <cp:lastPrinted>2011-08-17T08:41:59Z</cp:lastPrinted>
  <dcterms:created xsi:type="dcterms:W3CDTF">2011-01-09T13:35:29Z</dcterms:created>
  <dcterms:modified xsi:type="dcterms:W3CDTF">2011-08-17T08:58:29Z</dcterms:modified>
  <cp:category/>
  <cp:version/>
  <cp:contentType/>
  <cp:contentStatus/>
</cp:coreProperties>
</file>